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ok\Desktop\TEMPORARY\EST PDA BASIC CALCULATIONS\"/>
    </mc:Choice>
  </mc:AlternateContent>
  <xr:revisionPtr revIDLastSave="0" documentId="13_ncr:1_{223F02DA-5371-4FDF-86CD-996979928631}" xr6:coauthVersionLast="47" xr6:coauthVersionMax="47" xr10:uidLastSave="{00000000-0000-0000-0000-000000000000}"/>
  <bookViews>
    <workbookView xWindow="10" yWindow="10" windowWidth="14990" windowHeight="9270" xr2:uid="{2CD7C10D-F2D9-47F4-B496-D82C579DEE2A}"/>
  </bookViews>
  <sheets>
    <sheet name="PDA 1405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4" l="1"/>
  <c r="F28" i="4"/>
  <c r="G28" i="4" s="1"/>
  <c r="F30" i="4"/>
  <c r="G30" i="4" s="1"/>
  <c r="F29" i="4"/>
  <c r="G29" i="4" s="1"/>
  <c r="E24" i="4"/>
  <c r="C37" i="4"/>
  <c r="C31" i="4"/>
  <c r="F36" i="4"/>
  <c r="F35" i="4"/>
  <c r="F33" i="4"/>
  <c r="F32" i="4"/>
  <c r="F31" i="4" s="1"/>
  <c r="C36" i="4"/>
  <c r="C43" i="4"/>
  <c r="G47" i="4"/>
  <c r="E47" i="4"/>
  <c r="B35" i="4"/>
  <c r="E36" i="4"/>
  <c r="F37" i="4"/>
  <c r="G37" i="4" s="1"/>
  <c r="E37" i="4"/>
  <c r="G41" i="4"/>
  <c r="E49" i="4"/>
  <c r="G48" i="4"/>
  <c r="G49" i="4" s="1"/>
  <c r="E48" i="4"/>
  <c r="B48" i="4"/>
  <c r="G46" i="4"/>
  <c r="F41" i="4"/>
  <c r="E41" i="4"/>
  <c r="B41" i="4"/>
  <c r="G40" i="4"/>
  <c r="F38" i="4"/>
  <c r="G38" i="4" s="1"/>
  <c r="E35" i="4"/>
  <c r="D35" i="4"/>
  <c r="F34" i="4"/>
  <c r="E34" i="4"/>
  <c r="D34" i="4"/>
  <c r="E33" i="4"/>
  <c r="D33" i="4"/>
  <c r="B33" i="4"/>
  <c r="E32" i="4"/>
  <c r="D32" i="4"/>
  <c r="E31" i="4"/>
  <c r="G35" i="4" l="1"/>
  <c r="G32" i="4"/>
  <c r="G36" i="4"/>
  <c r="G31" i="4"/>
  <c r="G33" i="4"/>
  <c r="G34" i="4" s="1"/>
  <c r="G42" i="4" l="1"/>
  <c r="G44" i="4" l="1"/>
  <c r="G45" i="4" s="1"/>
  <c r="G50" i="4" s="1"/>
</calcChain>
</file>

<file path=xl/sharedStrings.xml><?xml version="1.0" encoding="utf-8"?>
<sst xmlns="http://schemas.openxmlformats.org/spreadsheetml/2006/main" count="270" uniqueCount="220">
  <si>
    <t xml:space="preserve"> VSL'S/TANKER'S NAME:</t>
  </si>
  <si>
    <t>VOYAGE:</t>
  </si>
  <si>
    <t xml:space="preserve"> </t>
  </si>
  <si>
    <t>SR.</t>
  </si>
  <si>
    <t>NARRATIVE</t>
  </si>
  <si>
    <t xml:space="preserve">                         OPTIONS</t>
  </si>
  <si>
    <t>01</t>
  </si>
  <si>
    <t>PORT OF CALL</t>
  </si>
  <si>
    <t>02</t>
  </si>
  <si>
    <t>TYPE OF THE VESSEL</t>
  </si>
  <si>
    <t>03</t>
  </si>
  <si>
    <t>NO. OF HATCHES/TANKS</t>
  </si>
  <si>
    <t>04</t>
  </si>
  <si>
    <t>L.O.A.</t>
  </si>
  <si>
    <t>05</t>
  </si>
  <si>
    <t xml:space="preserve">OPERATION </t>
  </si>
  <si>
    <t>06</t>
  </si>
  <si>
    <t>TERM OF SHIPMENT</t>
  </si>
  <si>
    <t>07</t>
  </si>
  <si>
    <t>NO.OF CONSIGNEE/SHIPPERS</t>
  </si>
  <si>
    <t>08</t>
  </si>
  <si>
    <t>EST. NO. OF DYS VESEL TO BE STAYED AT THE ANCHOARGE</t>
  </si>
  <si>
    <t>09</t>
  </si>
  <si>
    <t>PLACE OF LOADING/DISCHARGING</t>
  </si>
  <si>
    <t>10</t>
  </si>
  <si>
    <t xml:space="preserve">COMMODITY </t>
  </si>
  <si>
    <t>11</t>
  </si>
  <si>
    <t>CARGO QUANTITY(METRIC TON)</t>
  </si>
  <si>
    <t>MTS.</t>
  </si>
  <si>
    <t>12</t>
  </si>
  <si>
    <t>VESSELS  G.T.</t>
  </si>
  <si>
    <t>13</t>
  </si>
  <si>
    <t>VESSELS  N.T.</t>
  </si>
  <si>
    <t>14</t>
  </si>
  <si>
    <t>EST. ROUND UP NO. OF DAYS VESSEL ALONGSIDE</t>
  </si>
  <si>
    <t>DAYS</t>
  </si>
  <si>
    <t>15</t>
  </si>
  <si>
    <t>EST. HOURS VESSEL TO BE STAY ALONGSIDE</t>
  </si>
  <si>
    <t>HOURS</t>
  </si>
  <si>
    <t>AA-</t>
  </si>
  <si>
    <t>ESTIMATED PORT AND HARBOR DUES AS PER PREVAILING TARIFFS:</t>
  </si>
  <si>
    <t>S</t>
  </si>
  <si>
    <t xml:space="preserve">                                    DESCRIPTION</t>
  </si>
  <si>
    <t>BASIS</t>
  </si>
  <si>
    <t>USD</t>
  </si>
  <si>
    <t xml:space="preserve">AMOUNT $ </t>
  </si>
  <si>
    <t>1</t>
  </si>
  <si>
    <t>ENTRANCE TO THE PORTAND PORT  MOUTH</t>
  </si>
  <si>
    <t>G.T./TARIFF</t>
  </si>
  <si>
    <t>2</t>
  </si>
  <si>
    <t>LIGHT &amp; BUOYAGE DUES</t>
  </si>
  <si>
    <t>3</t>
  </si>
  <si>
    <t>DISCHARGING/LOADING</t>
  </si>
  <si>
    <t>CARGO QUANTITY</t>
  </si>
  <si>
    <t>4</t>
  </si>
  <si>
    <t>DREDGING</t>
  </si>
  <si>
    <t>5</t>
  </si>
  <si>
    <t xml:space="preserve">TUG CHARGES </t>
  </si>
  <si>
    <t>6</t>
  </si>
  <si>
    <t>7</t>
  </si>
  <si>
    <t>EST. PILOTAGE OVER TIME</t>
  </si>
  <si>
    <t>8</t>
  </si>
  <si>
    <t>9</t>
  </si>
  <si>
    <t>EST.SIDE WHARFAGE</t>
  </si>
  <si>
    <t xml:space="preserve">EST. GARBAGE COLLECTION ALONGSIDE </t>
  </si>
  <si>
    <t xml:space="preserve">ARRIVAL/DEPARTURE INSPECTION/CLEARANCE CHARGES </t>
  </si>
  <si>
    <t>G.T</t>
  </si>
  <si>
    <t xml:space="preserve">EST. GARBAGE COLLECTION AT THE ANCHORAGE </t>
  </si>
  <si>
    <t>G.T/DAY</t>
  </si>
  <si>
    <t>TOTAL ESTIMATED PORT DUES PRIOR DISCOUNT</t>
  </si>
  <si>
    <t>LESS DISCOUNT</t>
  </si>
  <si>
    <t>BALANCE EST. PORT AND HARBOUR DUES AFTER DISCOUNT, IF ANY</t>
  </si>
  <si>
    <t>BB-</t>
  </si>
  <si>
    <t>CC-</t>
  </si>
  <si>
    <t>AS PER TARIFF</t>
  </si>
  <si>
    <t>DD-</t>
  </si>
  <si>
    <t>EST. CUSTOMS OVERTIME</t>
  </si>
  <si>
    <t>EE-</t>
  </si>
  <si>
    <t>FF</t>
  </si>
  <si>
    <t>TOTAL OF THE ABOVE</t>
  </si>
  <si>
    <r>
      <t xml:space="preserve">                  </t>
    </r>
    <r>
      <rPr>
        <b/>
        <u/>
        <sz val="10"/>
        <rFont val="Arial"/>
        <family val="2"/>
      </rPr>
      <t>FOLLOWING STATUS HAVE BEEN PREDICTED IN STATUS COLUMN</t>
    </r>
  </si>
  <si>
    <t>TERM OF</t>
  </si>
  <si>
    <t>TYPE OF THE</t>
  </si>
  <si>
    <t>FLAG</t>
  </si>
  <si>
    <t>OPERATION</t>
  </si>
  <si>
    <t xml:space="preserve"> SHIPMENT</t>
  </si>
  <si>
    <t>COMMODITY</t>
  </si>
  <si>
    <t>VESSEL</t>
  </si>
  <si>
    <t>JETTY</t>
  </si>
  <si>
    <t>LOADING</t>
  </si>
  <si>
    <t>FREE IN</t>
  </si>
  <si>
    <t>CRUDE OIL</t>
  </si>
  <si>
    <t>BANDAR ABBAS</t>
  </si>
  <si>
    <t>BULK CARRIER</t>
  </si>
  <si>
    <t>SBM/SPM/STS</t>
  </si>
  <si>
    <t>DISCHARGING</t>
  </si>
  <si>
    <t>FREE OUT</t>
  </si>
  <si>
    <t>GAS</t>
  </si>
  <si>
    <t>BANDAR ANZALI</t>
  </si>
  <si>
    <t>CONTAINER CARRIER</t>
  </si>
  <si>
    <t>DISCH &amp; LOAD</t>
  </si>
  <si>
    <t>LINER IN</t>
  </si>
  <si>
    <t>STEEL PRODUCTS</t>
  </si>
  <si>
    <t>BANDAR IMAM KHOMEINI (B.I.K.)</t>
  </si>
  <si>
    <t>GENERAL CARGO</t>
  </si>
  <si>
    <t>LINER OUT</t>
  </si>
  <si>
    <t>MINERALS</t>
  </si>
  <si>
    <t>GAS CARRIER</t>
  </si>
  <si>
    <t>SULPHUR</t>
  </si>
  <si>
    <t>CHABAHAR</t>
  </si>
  <si>
    <t>MULTI PURPOSE VESSEL</t>
  </si>
  <si>
    <t>CLINKER</t>
  </si>
  <si>
    <t xml:space="preserve">KHARG ISLAND/OIL TERMINAL  </t>
  </si>
  <si>
    <t>RO - RO</t>
  </si>
  <si>
    <t>CONTAINER</t>
  </si>
  <si>
    <t xml:space="preserve">KHARG ISLAND/KHEMCO </t>
  </si>
  <si>
    <t>RO - RO/CONTAINER</t>
  </si>
  <si>
    <t>CEMENT</t>
  </si>
  <si>
    <t>MAHSHAR</t>
  </si>
  <si>
    <t>TANKER</t>
  </si>
  <si>
    <t>SANDS, GRIT,GYPSUM</t>
  </si>
  <si>
    <t>BUSHEHR</t>
  </si>
  <si>
    <t>FEEDER</t>
  </si>
  <si>
    <t>PETROCHEMICAL PRODUCT</t>
  </si>
  <si>
    <t>ASSALUYEH PARS SERVICE PORT</t>
  </si>
  <si>
    <t>CHEMICAL CARRIER</t>
  </si>
  <si>
    <t>GAS COKE</t>
  </si>
  <si>
    <t>ASSALUYEH PETRO CHEMISTRY PORT</t>
  </si>
  <si>
    <t>OBO TANKER</t>
  </si>
  <si>
    <t>QESHM-KAVEH BERTH</t>
  </si>
  <si>
    <t>TUG AND BARGE</t>
  </si>
  <si>
    <t>GYPSUM</t>
  </si>
  <si>
    <t>B.ABBAS BARCO BERTH</t>
  </si>
  <si>
    <t>OIL DERIVATIVES</t>
  </si>
  <si>
    <t>KHORRAMSHAHR</t>
  </si>
  <si>
    <t>RORO</t>
  </si>
  <si>
    <t xml:space="preserve">IRON ORE </t>
  </si>
  <si>
    <t>NOSHAHR</t>
  </si>
  <si>
    <t xml:space="preserve">OTHERS </t>
  </si>
  <si>
    <t xml:space="preserve">AMIRABAD- NEKA </t>
  </si>
  <si>
    <t>KISH</t>
  </si>
  <si>
    <t>SAROOJ JETTY</t>
  </si>
  <si>
    <t xml:space="preserve">ASTARA </t>
  </si>
  <si>
    <t xml:space="preserve">BANDAR LENGEH </t>
  </si>
  <si>
    <t xml:space="preserve">LAVAN ISLAND </t>
  </si>
  <si>
    <t>ASSALUYEH FARASAKOU PORT</t>
  </si>
  <si>
    <t xml:space="preserve">SIRRI ISLAND </t>
  </si>
  <si>
    <t xml:space="preserve">PARSIAN PORT </t>
  </si>
  <si>
    <t xml:space="preserve">IRAN LNG /TOMBAK PORT </t>
  </si>
  <si>
    <t xml:space="preserve">TANKER  GARBAGE COLLECTION </t>
  </si>
  <si>
    <t xml:space="preserve">     TUG BOAT TARIFF ON G.R.T. BASIS</t>
  </si>
  <si>
    <t xml:space="preserve">              TARIFF ON G.R.T. BASIS</t>
  </si>
  <si>
    <t xml:space="preserve">  FROM</t>
  </si>
  <si>
    <t xml:space="preserve">  TO</t>
  </si>
  <si>
    <t>FOREIGN FLAG(USD)</t>
  </si>
  <si>
    <t>IRANIAN FLAG</t>
  </si>
  <si>
    <t>AMOUNT (USD)</t>
  </si>
  <si>
    <t xml:space="preserve"> N.B. VESSELS STAY LONGER THAN 7 DAYS ALONGSIDE ARE</t>
  </si>
  <si>
    <t xml:space="preserve"> SUBJECT TO 1/7 OF ABOVE TARIFF PER EXTRA DAY AS </t>
  </si>
  <si>
    <t xml:space="preserve">    ADDITIONAL GARBAGE  COLLECTION CHARGES</t>
  </si>
  <si>
    <t xml:space="preserve">          QUARANTINE CHARGES TARIFF  ON G.R.T. BASIS</t>
  </si>
  <si>
    <t>CARGO VESSEL</t>
  </si>
  <si>
    <t>TANKERS</t>
  </si>
  <si>
    <t>FROM</t>
  </si>
  <si>
    <t xml:space="preserve">TO </t>
  </si>
  <si>
    <t xml:space="preserve">         TUG BOAT AND PILOTAGE TARIFF TO BE PAID TO N.I.O.C</t>
  </si>
  <si>
    <t>MAHSAHAR</t>
  </si>
  <si>
    <t>SR</t>
  </si>
  <si>
    <t>KHARG OIL TERMINAL</t>
  </si>
  <si>
    <t>ASSALYUEH/KHG PET</t>
  </si>
  <si>
    <r>
      <t>PILOTAGE :</t>
    </r>
    <r>
      <rPr>
        <sz val="11"/>
        <color theme="1"/>
        <rFont val="Calibri"/>
        <family val="2"/>
        <scheme val="minor"/>
      </rPr>
      <t>FOR ONE BERTHING/UNBERTHING</t>
    </r>
  </si>
  <si>
    <t>TUG BOAT:</t>
  </si>
  <si>
    <t>*</t>
  </si>
  <si>
    <t xml:space="preserve"> TANKER UP TO 20,000 MTS. N.R.T.</t>
  </si>
  <si>
    <t xml:space="preserve"> ADDITIONAL TUG BOAT FOR TANKER WITH MORE THAN</t>
  </si>
  <si>
    <t xml:space="preserve"> 20,000 MTS. N.R.T.= EACH 100 MTS. N.R.T.</t>
  </si>
  <si>
    <t>ASSALUYEH TUG BOAT TARIFF</t>
  </si>
  <si>
    <t>ISOICO TARIFF IN IRR.       R.O.E.</t>
  </si>
  <si>
    <t>1- SIDE WARFAGE BASIS ON L.O.A OF THE VSL:</t>
  </si>
  <si>
    <t>FROM/MTR</t>
  </si>
  <si>
    <t>TO/MTR</t>
  </si>
  <si>
    <t>IRR</t>
  </si>
  <si>
    <t xml:space="preserve">MAHSHAR ADDITONAL TARIFF TO BE PAID </t>
  </si>
  <si>
    <t>TO ABADAN NIOC</t>
  </si>
  <si>
    <t>2- MOORING /UNMOORING</t>
  </si>
  <si>
    <t>2 OPS.</t>
  </si>
  <si>
    <t>PILOTAGE ALREADY IN NIOC TARIFF</t>
  </si>
  <si>
    <t xml:space="preserve">3- ENTERANCE TO THE BASIN </t>
  </si>
  <si>
    <t>PER GRT</t>
  </si>
  <si>
    <t>MOORING/UNMOOREING</t>
  </si>
  <si>
    <t>4- CANAL DREDGING                  P/GRT</t>
  </si>
  <si>
    <t>MOTOR BOAT AT MAHSHAHR</t>
  </si>
  <si>
    <t xml:space="preserve">5- LIGHT DUES,BOUYEH </t>
  </si>
  <si>
    <t>MOTOR BOAT AT B.I.K</t>
  </si>
  <si>
    <t>6- GARBAGE COLLECTION        P/DAY</t>
  </si>
  <si>
    <t>PER DAY</t>
  </si>
  <si>
    <t>KISH FREE ZONE DUES</t>
  </si>
  <si>
    <t>10+DAY X USD:0.10 X GRT</t>
  </si>
  <si>
    <t>Free Zone authorities rounds up the GRT to higher figure, I.E if the GRT is 3177 the round up would be 3200</t>
  </si>
  <si>
    <t>vsl staying longer than 7 days alongside the KFZ dues will be subject</t>
  </si>
  <si>
    <t>8-14 days</t>
  </si>
  <si>
    <t>30% additional</t>
  </si>
  <si>
    <t>15-30 days</t>
  </si>
  <si>
    <t>50% additional</t>
  </si>
  <si>
    <t>QESHM LAFT JETTY</t>
  </si>
  <si>
    <t xml:space="preserve">GARBAGE </t>
  </si>
  <si>
    <t xml:space="preserve">NORT PORTS </t>
  </si>
  <si>
    <t xml:space="preserve">PER DAY </t>
  </si>
  <si>
    <t>BARGE HIRE</t>
  </si>
  <si>
    <t>TO</t>
  </si>
  <si>
    <t>4 days onward additional IRR 5500000/DAY</t>
  </si>
  <si>
    <t xml:space="preserve">TUG CHARGES NORTH PORTS </t>
  </si>
  <si>
    <t xml:space="preserve">GARBAGE COLLECTION ALONGSIDE </t>
  </si>
  <si>
    <t xml:space="preserve">GARBAGE COLLECTION ANCHORAGE </t>
  </si>
  <si>
    <t xml:space="preserve">MARINE PROTECTION AND SECURING SERVICES </t>
  </si>
  <si>
    <t xml:space="preserve">G.T </t>
  </si>
  <si>
    <t xml:space="preserve">EST.10  PCT VAT ON PORT AND HARBOUR DUES </t>
  </si>
  <si>
    <t>EST. 10 PCT VAT ON N.I.O.C. CHARGES</t>
  </si>
  <si>
    <t xml:space="preserve">Q.M.O.FEE PLUS 10% V.A.T </t>
  </si>
  <si>
    <t>BIK- PETZONE NPC-TTPC INCLUDING RAZI JETTIES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</si>
</sst>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b/>
      <sz val="12"/>
      <color indexed="12"/>
      <name val="Arial"/>
      <family val="2"/>
    </font>
    <font>
      <sz val="12"/>
      <color indexed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7"/>
      <name val="Arial"/>
      <family val="2"/>
    </font>
    <font>
      <b/>
      <sz val="8"/>
      <color indexed="10"/>
      <name val="Arial"/>
      <family val="2"/>
    </font>
    <font>
      <b/>
      <sz val="12"/>
      <color indexed="10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sz val="9"/>
      <color indexed="12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sz val="11"/>
      <color theme="9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8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9">
    <xf numFmtId="0" fontId="0" fillId="0" borderId="0" xfId="0"/>
    <xf numFmtId="0" fontId="1" fillId="2" borderId="0" xfId="1" applyFill="1" applyProtection="1">
      <protection hidden="1"/>
    </xf>
    <xf numFmtId="2" fontId="1" fillId="2" borderId="0" xfId="1" applyNumberFormat="1" applyFill="1" applyAlignment="1" applyProtection="1">
      <alignment horizontal="right"/>
      <protection hidden="1"/>
    </xf>
    <xf numFmtId="0" fontId="2" fillId="2" borderId="0" xfId="1" applyFont="1" applyFill="1" applyAlignment="1">
      <alignment horizontal="left"/>
    </xf>
    <xf numFmtId="0" fontId="1" fillId="2" borderId="0" xfId="1" applyFill="1"/>
    <xf numFmtId="0" fontId="2" fillId="2" borderId="1" xfId="1" applyFont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2" fillId="2" borderId="0" xfId="1" applyFont="1" applyFill="1" applyAlignment="1">
      <alignment horizontal="right"/>
    </xf>
    <xf numFmtId="0" fontId="1" fillId="2" borderId="3" xfId="1" applyFill="1" applyBorder="1" applyProtection="1">
      <protection locked="0"/>
    </xf>
    <xf numFmtId="2" fontId="1" fillId="2" borderId="0" xfId="1" applyNumberFormat="1" applyFill="1" applyAlignment="1">
      <alignment horizontal="right"/>
    </xf>
    <xf numFmtId="0" fontId="1" fillId="0" borderId="0" xfId="1"/>
    <xf numFmtId="0" fontId="1" fillId="0" borderId="0" xfId="1" applyAlignment="1">
      <alignment horizontal="left"/>
    </xf>
    <xf numFmtId="2" fontId="1" fillId="0" borderId="0" xfId="1" applyNumberFormat="1" applyAlignment="1">
      <alignment horizontal="right"/>
    </xf>
    <xf numFmtId="0" fontId="2" fillId="3" borderId="4" xfId="1" applyFont="1" applyFill="1" applyBorder="1" applyAlignment="1">
      <alignment horizontal="center"/>
    </xf>
    <xf numFmtId="0" fontId="2" fillId="3" borderId="5" xfId="1" applyFont="1" applyFill="1" applyBorder="1" applyAlignment="1">
      <alignment horizontal="left"/>
    </xf>
    <xf numFmtId="0" fontId="2" fillId="3" borderId="6" xfId="1" applyFont="1" applyFill="1" applyBorder="1" applyAlignment="1">
      <alignment horizontal="center"/>
    </xf>
    <xf numFmtId="0" fontId="2" fillId="3" borderId="7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center"/>
    </xf>
    <xf numFmtId="2" fontId="2" fillId="2" borderId="0" xfId="1" applyNumberFormat="1" applyFont="1" applyFill="1" applyAlignment="1">
      <alignment horizontal="right"/>
    </xf>
    <xf numFmtId="0" fontId="2" fillId="2" borderId="0" xfId="1" applyFont="1" applyFill="1"/>
    <xf numFmtId="0" fontId="2" fillId="0" borderId="9" xfId="1" quotePrefix="1" applyFont="1" applyBorder="1" applyAlignment="1">
      <alignment horizontal="center"/>
    </xf>
    <xf numFmtId="0" fontId="2" fillId="0" borderId="10" xfId="1" applyFont="1" applyBorder="1" applyAlignment="1">
      <alignment horizontal="left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2" fontId="2" fillId="0" borderId="0" xfId="1" applyNumberFormat="1" applyFont="1" applyAlignment="1">
      <alignment horizontal="right"/>
    </xf>
    <xf numFmtId="0" fontId="2" fillId="0" borderId="0" xfId="1" applyFont="1"/>
    <xf numFmtId="0" fontId="2" fillId="0" borderId="14" xfId="1" quotePrefix="1" applyFont="1" applyBorder="1" applyAlignment="1">
      <alignment horizontal="center"/>
    </xf>
    <xf numFmtId="0" fontId="2" fillId="0" borderId="15" xfId="1" applyFont="1" applyBorder="1" applyAlignment="1">
      <alignment horizontal="left"/>
    </xf>
    <xf numFmtId="0" fontId="2" fillId="0" borderId="15" xfId="1" applyFont="1" applyBorder="1" applyAlignment="1">
      <alignment horizontal="center"/>
    </xf>
    <xf numFmtId="0" fontId="2" fillId="0" borderId="17" xfId="1" applyFont="1" applyBorder="1" applyAlignment="1" applyProtection="1">
      <alignment horizontal="center"/>
      <protection locked="0"/>
    </xf>
    <xf numFmtId="0" fontId="2" fillId="0" borderId="16" xfId="1" applyFont="1" applyBorder="1" applyAlignment="1" applyProtection="1">
      <alignment horizontal="left"/>
      <protection locked="0"/>
    </xf>
    <xf numFmtId="0" fontId="2" fillId="2" borderId="15" xfId="1" applyFont="1" applyFill="1" applyBorder="1" applyAlignment="1">
      <alignment horizontal="left"/>
    </xf>
    <xf numFmtId="0" fontId="1" fillId="2" borderId="15" xfId="1" applyFill="1" applyBorder="1"/>
    <xf numFmtId="0" fontId="3" fillId="2" borderId="15" xfId="1" applyFont="1" applyFill="1" applyBorder="1"/>
    <xf numFmtId="0" fontId="2" fillId="2" borderId="18" xfId="1" applyFont="1" applyFill="1" applyBorder="1" applyAlignment="1">
      <alignment horizontal="left"/>
    </xf>
    <xf numFmtId="0" fontId="1" fillId="2" borderId="18" xfId="1" applyFill="1" applyBorder="1"/>
    <xf numFmtId="0" fontId="3" fillId="2" borderId="18" xfId="1" applyFont="1" applyFill="1" applyBorder="1"/>
    <xf numFmtId="3" fontId="2" fillId="2" borderId="12" xfId="1" applyNumberFormat="1" applyFont="1" applyFill="1" applyBorder="1" applyProtection="1">
      <protection locked="0"/>
    </xf>
    <xf numFmtId="0" fontId="1" fillId="0" borderId="19" xfId="1" applyBorder="1"/>
    <xf numFmtId="0" fontId="4" fillId="2" borderId="18" xfId="1" applyFont="1" applyFill="1" applyBorder="1" applyAlignment="1">
      <alignment horizontal="left"/>
    </xf>
    <xf numFmtId="0" fontId="5" fillId="2" borderId="18" xfId="1" applyFont="1" applyFill="1" applyBorder="1"/>
    <xf numFmtId="0" fontId="6" fillId="2" borderId="18" xfId="1" applyFont="1" applyFill="1" applyBorder="1"/>
    <xf numFmtId="0" fontId="1" fillId="0" borderId="20" xfId="1" applyBorder="1"/>
    <xf numFmtId="0" fontId="1" fillId="2" borderId="18" xfId="1" quotePrefix="1" applyFill="1" applyBorder="1"/>
    <xf numFmtId="2" fontId="2" fillId="2" borderId="20" xfId="1" applyNumberFormat="1" applyFont="1" applyFill="1" applyBorder="1" applyProtection="1">
      <protection locked="0"/>
    </xf>
    <xf numFmtId="2" fontId="2" fillId="2" borderId="19" xfId="1" applyNumberFormat="1" applyFont="1" applyFill="1" applyBorder="1"/>
    <xf numFmtId="3" fontId="2" fillId="2" borderId="16" xfId="1" applyNumberFormat="1" applyFont="1" applyFill="1" applyBorder="1" applyProtection="1">
      <protection locked="0"/>
    </xf>
    <xf numFmtId="2" fontId="1" fillId="2" borderId="0" xfId="1" applyNumberFormat="1" applyFill="1"/>
    <xf numFmtId="0" fontId="2" fillId="2" borderId="16" xfId="1" applyFont="1" applyFill="1" applyBorder="1" applyAlignment="1">
      <alignment horizontal="left"/>
    </xf>
    <xf numFmtId="0" fontId="2" fillId="2" borderId="16" xfId="1" applyFont="1" applyFill="1" applyBorder="1" applyProtection="1">
      <protection locked="0"/>
    </xf>
    <xf numFmtId="2" fontId="1" fillId="2" borderId="21" xfId="1" applyNumberFormat="1" applyFill="1" applyBorder="1" applyAlignment="1">
      <alignment horizontal="center"/>
    </xf>
    <xf numFmtId="0" fontId="2" fillId="2" borderId="22" xfId="1" applyFont="1" applyFill="1" applyBorder="1" applyAlignment="1">
      <alignment horizontal="left"/>
    </xf>
    <xf numFmtId="0" fontId="1" fillId="2" borderId="22" xfId="1" quotePrefix="1" applyFill="1" applyBorder="1"/>
    <xf numFmtId="0" fontId="2" fillId="2" borderId="23" xfId="1" applyFont="1" applyFill="1" applyBorder="1" applyProtection="1">
      <protection locked="0"/>
    </xf>
    <xf numFmtId="2" fontId="2" fillId="2" borderId="24" xfId="1" applyNumberFormat="1" applyFont="1" applyFill="1" applyBorder="1"/>
    <xf numFmtId="0" fontId="1" fillId="2" borderId="0" xfId="1" quotePrefix="1" applyFill="1"/>
    <xf numFmtId="0" fontId="1" fillId="2" borderId="0" xfId="1" applyFill="1" applyAlignment="1">
      <alignment horizontal="left"/>
    </xf>
    <xf numFmtId="0" fontId="7" fillId="0" borderId="0" xfId="1" applyFont="1" applyAlignment="1" applyProtection="1">
      <alignment horizontal="center"/>
      <protection hidden="1"/>
    </xf>
    <xf numFmtId="0" fontId="7" fillId="0" borderId="0" xfId="1" applyFont="1" applyAlignment="1" applyProtection="1">
      <alignment horizontal="left"/>
      <protection hidden="1"/>
    </xf>
    <xf numFmtId="0" fontId="8" fillId="0" borderId="0" xfId="1" applyFont="1" applyProtection="1">
      <protection hidden="1"/>
    </xf>
    <xf numFmtId="2" fontId="8" fillId="0" borderId="0" xfId="1" applyNumberFormat="1" applyFont="1" applyAlignment="1" applyProtection="1">
      <alignment horizontal="right"/>
      <protection hidden="1"/>
    </xf>
    <xf numFmtId="0" fontId="2" fillId="3" borderId="25" xfId="1" applyFont="1" applyFill="1" applyBorder="1" applyAlignment="1" applyProtection="1">
      <alignment horizontal="center"/>
      <protection hidden="1"/>
    </xf>
    <xf numFmtId="0" fontId="2" fillId="3" borderId="26" xfId="1" applyFont="1" applyFill="1" applyBorder="1" applyProtection="1">
      <protection hidden="1"/>
    </xf>
    <xf numFmtId="0" fontId="2" fillId="3" borderId="27" xfId="1" applyFont="1" applyFill="1" applyBorder="1" applyProtection="1">
      <protection hidden="1"/>
    </xf>
    <xf numFmtId="0" fontId="2" fillId="3" borderId="28" xfId="1" applyFont="1" applyFill="1" applyBorder="1" applyProtection="1">
      <protection hidden="1"/>
    </xf>
    <xf numFmtId="0" fontId="2" fillId="3" borderId="26" xfId="1" applyFont="1" applyFill="1" applyBorder="1" applyAlignment="1" applyProtection="1">
      <alignment horizontal="center"/>
      <protection hidden="1"/>
    </xf>
    <xf numFmtId="2" fontId="2" fillId="3" borderId="26" xfId="1" applyNumberFormat="1" applyFont="1" applyFill="1" applyBorder="1" applyAlignment="1" applyProtection="1">
      <alignment horizontal="center"/>
      <protection hidden="1"/>
    </xf>
    <xf numFmtId="2" fontId="2" fillId="3" borderId="29" xfId="1" applyNumberFormat="1" applyFont="1" applyFill="1" applyBorder="1" applyAlignment="1" applyProtection="1">
      <alignment horizontal="center"/>
      <protection hidden="1"/>
    </xf>
    <xf numFmtId="0" fontId="2" fillId="2" borderId="0" xfId="1" applyFont="1" applyFill="1" applyProtection="1">
      <protection hidden="1"/>
    </xf>
    <xf numFmtId="0" fontId="1" fillId="2" borderId="30" xfId="1" quotePrefix="1" applyFill="1" applyBorder="1" applyAlignment="1" applyProtection="1">
      <alignment horizontal="center"/>
      <protection hidden="1"/>
    </xf>
    <xf numFmtId="0" fontId="1" fillId="2" borderId="7" xfId="1" applyFill="1" applyBorder="1" applyProtection="1">
      <protection hidden="1"/>
    </xf>
    <xf numFmtId="0" fontId="1" fillId="2" borderId="31" xfId="1" applyFill="1" applyBorder="1" applyProtection="1">
      <protection hidden="1"/>
    </xf>
    <xf numFmtId="0" fontId="1" fillId="2" borderId="8" xfId="1" applyFill="1" applyBorder="1" applyProtection="1">
      <protection hidden="1"/>
    </xf>
    <xf numFmtId="0" fontId="1" fillId="2" borderId="32" xfId="1" applyFill="1" applyBorder="1" applyAlignment="1" applyProtection="1">
      <alignment horizontal="center"/>
      <protection hidden="1"/>
    </xf>
    <xf numFmtId="164" fontId="1" fillId="2" borderId="32" xfId="1" applyNumberFormat="1" applyFill="1" applyBorder="1" applyAlignment="1" applyProtection="1">
      <alignment horizontal="center" shrinkToFit="1"/>
      <protection hidden="1"/>
    </xf>
    <xf numFmtId="0" fontId="1" fillId="2" borderId="32" xfId="1" applyFill="1" applyBorder="1" applyAlignment="1" applyProtection="1">
      <alignment horizontal="center" shrinkToFit="1"/>
      <protection hidden="1"/>
    </xf>
    <xf numFmtId="0" fontId="1" fillId="2" borderId="31" xfId="1" applyFill="1" applyBorder="1" applyAlignment="1" applyProtection="1">
      <alignment shrinkToFit="1"/>
      <protection hidden="1"/>
    </xf>
    <xf numFmtId="0" fontId="10" fillId="0" borderId="0" xfId="0" applyFont="1"/>
    <xf numFmtId="2" fontId="1" fillId="2" borderId="33" xfId="1" applyNumberFormat="1" applyFill="1" applyBorder="1" applyAlignment="1" applyProtection="1">
      <alignment horizontal="center" shrinkToFit="1"/>
      <protection hidden="1"/>
    </xf>
    <xf numFmtId="0" fontId="11" fillId="2" borderId="7" xfId="1" applyFont="1" applyFill="1" applyBorder="1" applyProtection="1">
      <protection hidden="1"/>
    </xf>
    <xf numFmtId="164" fontId="1" fillId="0" borderId="32" xfId="1" applyNumberFormat="1" applyBorder="1" applyAlignment="1" applyProtection="1">
      <alignment horizontal="center" shrinkToFit="1"/>
      <protection hidden="1"/>
    </xf>
    <xf numFmtId="0" fontId="5" fillId="2" borderId="34" xfId="1" applyFont="1" applyFill="1" applyBorder="1" applyProtection="1">
      <protection hidden="1"/>
    </xf>
    <xf numFmtId="0" fontId="1" fillId="2" borderId="35" xfId="1" applyFill="1" applyBorder="1" applyProtection="1">
      <protection hidden="1"/>
    </xf>
    <xf numFmtId="0" fontId="1" fillId="2" borderId="36" xfId="1" applyFill="1" applyBorder="1" applyProtection="1">
      <protection hidden="1"/>
    </xf>
    <xf numFmtId="164" fontId="1" fillId="0" borderId="37" xfId="1" applyNumberFormat="1" applyBorder="1" applyAlignment="1" applyProtection="1">
      <alignment horizontal="center" shrinkToFit="1"/>
      <protection hidden="1"/>
    </xf>
    <xf numFmtId="0" fontId="5" fillId="2" borderId="5" xfId="1" applyFont="1" applyFill="1" applyBorder="1" applyAlignment="1" applyProtection="1">
      <alignment horizontal="left"/>
      <protection hidden="1"/>
    </xf>
    <xf numFmtId="0" fontId="5" fillId="2" borderId="6" xfId="1" applyFont="1" applyFill="1" applyBorder="1" applyProtection="1">
      <protection hidden="1"/>
    </xf>
    <xf numFmtId="0" fontId="1" fillId="2" borderId="39" xfId="1" applyFill="1" applyBorder="1" applyProtection="1">
      <protection hidden="1"/>
    </xf>
    <xf numFmtId="0" fontId="1" fillId="2" borderId="4" xfId="1" applyFill="1" applyBorder="1" applyAlignment="1" applyProtection="1">
      <alignment horizontal="left" shrinkToFit="1"/>
      <protection hidden="1"/>
    </xf>
    <xf numFmtId="0" fontId="2" fillId="2" borderId="27" xfId="1" applyFont="1" applyFill="1" applyBorder="1" applyAlignment="1" applyProtection="1">
      <alignment horizontal="center"/>
      <protection hidden="1"/>
    </xf>
    <xf numFmtId="0" fontId="2" fillId="2" borderId="41" xfId="1" applyFont="1" applyFill="1" applyBorder="1" applyProtection="1">
      <protection hidden="1"/>
    </xf>
    <xf numFmtId="0" fontId="2" fillId="2" borderId="42" xfId="1" applyFont="1" applyFill="1" applyBorder="1" applyProtection="1">
      <protection hidden="1"/>
    </xf>
    <xf numFmtId="0" fontId="2" fillId="2" borderId="28" xfId="1" applyFont="1" applyFill="1" applyBorder="1" applyProtection="1">
      <protection hidden="1"/>
    </xf>
    <xf numFmtId="0" fontId="2" fillId="2" borderId="21" xfId="1" applyFont="1" applyFill="1" applyBorder="1" applyAlignment="1" applyProtection="1">
      <alignment horizontal="center"/>
      <protection hidden="1"/>
    </xf>
    <xf numFmtId="0" fontId="12" fillId="2" borderId="0" xfId="1" applyFont="1" applyFill="1" applyProtection="1">
      <protection hidden="1"/>
    </xf>
    <xf numFmtId="0" fontId="2" fillId="2" borderId="43" xfId="1" applyFont="1" applyFill="1" applyBorder="1" applyProtection="1">
      <protection hidden="1"/>
    </xf>
    <xf numFmtId="2" fontId="13" fillId="2" borderId="0" xfId="1" applyNumberFormat="1" applyFont="1" applyFill="1" applyProtection="1">
      <protection hidden="1"/>
    </xf>
    <xf numFmtId="2" fontId="2" fillId="2" borderId="0" xfId="1" applyNumberFormat="1" applyFont="1" applyFill="1" applyProtection="1">
      <protection hidden="1"/>
    </xf>
    <xf numFmtId="0" fontId="7" fillId="2" borderId="32" xfId="1" applyFont="1" applyFill="1" applyBorder="1" applyAlignment="1" applyProtection="1">
      <alignment horizontal="center"/>
      <protection hidden="1"/>
    </xf>
    <xf numFmtId="0" fontId="14" fillId="2" borderId="35" xfId="1" applyFont="1" applyFill="1" applyBorder="1" applyProtection="1">
      <protection hidden="1"/>
    </xf>
    <xf numFmtId="0" fontId="2" fillId="2" borderId="35" xfId="1" applyFont="1" applyFill="1" applyBorder="1" applyProtection="1">
      <protection hidden="1"/>
    </xf>
    <xf numFmtId="0" fontId="2" fillId="2" borderId="36" xfId="1" applyFont="1" applyFill="1" applyBorder="1" applyProtection="1">
      <protection hidden="1"/>
    </xf>
    <xf numFmtId="2" fontId="7" fillId="2" borderId="36" xfId="1" applyNumberFormat="1" applyFont="1" applyFill="1" applyBorder="1" applyAlignment="1" applyProtection="1">
      <alignment horizontal="right" shrinkToFit="1"/>
      <protection hidden="1"/>
    </xf>
    <xf numFmtId="0" fontId="7" fillId="0" borderId="32" xfId="1" applyFont="1" applyBorder="1" applyAlignment="1" applyProtection="1">
      <alignment horizontal="center"/>
      <protection hidden="1"/>
    </xf>
    <xf numFmtId="0" fontId="7" fillId="0" borderId="7" xfId="1" applyFont="1" applyBorder="1" applyAlignment="1" applyProtection="1">
      <alignment horizontal="left"/>
      <protection hidden="1"/>
    </xf>
    <xf numFmtId="0" fontId="2" fillId="0" borderId="31" xfId="1" applyFont="1" applyBorder="1" applyProtection="1">
      <protection hidden="1"/>
    </xf>
    <xf numFmtId="0" fontId="2" fillId="0" borderId="31" xfId="1" applyFont="1" applyBorder="1" applyAlignment="1" applyProtection="1">
      <alignment horizontal="left"/>
      <protection hidden="1"/>
    </xf>
    <xf numFmtId="0" fontId="2" fillId="0" borderId="8" xfId="1" applyFont="1" applyBorder="1" applyProtection="1">
      <protection hidden="1"/>
    </xf>
    <xf numFmtId="2" fontId="7" fillId="0" borderId="32" xfId="1" applyNumberFormat="1" applyFont="1" applyBorder="1" applyAlignment="1" applyProtection="1">
      <alignment horizontal="right" shrinkToFit="1"/>
      <protection hidden="1"/>
    </xf>
    <xf numFmtId="2" fontId="2" fillId="0" borderId="31" xfId="1" applyNumberFormat="1" applyFont="1" applyBorder="1" applyProtection="1">
      <protection hidden="1"/>
    </xf>
    <xf numFmtId="0" fontId="2" fillId="0" borderId="0" xfId="1" applyFont="1" applyProtection="1">
      <protection hidden="1"/>
    </xf>
    <xf numFmtId="0" fontId="15" fillId="0" borderId="7" xfId="1" applyFont="1" applyBorder="1" applyAlignment="1" applyProtection="1">
      <alignment horizontal="left"/>
      <protection hidden="1"/>
    </xf>
    <xf numFmtId="0" fontId="1" fillId="0" borderId="0" xfId="1" applyAlignment="1" applyProtection="1">
      <alignment horizontal="center"/>
      <protection hidden="1"/>
    </xf>
    <xf numFmtId="0" fontId="16" fillId="0" borderId="0" xfId="1" applyFont="1" applyAlignment="1" applyProtection="1">
      <alignment horizontal="left"/>
      <protection hidden="1"/>
    </xf>
    <xf numFmtId="0" fontId="1" fillId="0" borderId="0" xfId="1" applyProtection="1">
      <protection hidden="1"/>
    </xf>
    <xf numFmtId="0" fontId="3" fillId="2" borderId="0" xfId="1" applyFont="1" applyFill="1" applyAlignment="1">
      <alignment horizontal="center"/>
    </xf>
    <xf numFmtId="0" fontId="13" fillId="2" borderId="0" xfId="1" applyFont="1" applyFill="1"/>
    <xf numFmtId="0" fontId="3" fillId="2" borderId="0" xfId="1" applyFont="1" applyFill="1"/>
    <xf numFmtId="2" fontId="3" fillId="2" borderId="0" xfId="1" applyNumberFormat="1" applyFont="1" applyFill="1" applyAlignment="1">
      <alignment horizontal="right"/>
    </xf>
    <xf numFmtId="0" fontId="1" fillId="0" borderId="0" xfId="1" applyAlignment="1" applyProtection="1">
      <alignment horizontal="left"/>
      <protection hidden="1"/>
    </xf>
    <xf numFmtId="2" fontId="1" fillId="0" borderId="0" xfId="1" applyNumberFormat="1" applyAlignment="1" applyProtection="1">
      <alignment horizontal="right"/>
      <protection hidden="1"/>
    </xf>
    <xf numFmtId="0" fontId="1" fillId="4" borderId="38" xfId="1" applyFill="1" applyBorder="1" applyAlignment="1" applyProtection="1">
      <alignment horizontal="center"/>
      <protection hidden="1"/>
    </xf>
    <xf numFmtId="0" fontId="1" fillId="4" borderId="44" xfId="1" applyFill="1" applyBorder="1" applyAlignment="1" applyProtection="1">
      <alignment horizontal="center"/>
      <protection hidden="1"/>
    </xf>
    <xf numFmtId="0" fontId="1" fillId="4" borderId="45" xfId="1" applyFill="1" applyBorder="1" applyAlignment="1" applyProtection="1">
      <alignment horizontal="center"/>
      <protection hidden="1"/>
    </xf>
    <xf numFmtId="2" fontId="1" fillId="4" borderId="37" xfId="1" applyNumberFormat="1" applyFill="1" applyBorder="1" applyAlignment="1" applyProtection="1">
      <alignment horizontal="right"/>
      <protection hidden="1"/>
    </xf>
    <xf numFmtId="0" fontId="1" fillId="2" borderId="0" xfId="1" applyFill="1" applyAlignment="1" applyProtection="1">
      <alignment horizontal="center"/>
      <protection hidden="1"/>
    </xf>
    <xf numFmtId="0" fontId="1" fillId="4" borderId="46" xfId="1" applyFill="1" applyBorder="1" applyAlignment="1" applyProtection="1">
      <alignment horizontal="center"/>
      <protection hidden="1"/>
    </xf>
    <xf numFmtId="0" fontId="1" fillId="4" borderId="47" xfId="1" applyFill="1" applyBorder="1" applyAlignment="1" applyProtection="1">
      <alignment horizontal="center"/>
      <protection hidden="1"/>
    </xf>
    <xf numFmtId="0" fontId="1" fillId="4" borderId="48" xfId="1" applyFill="1" applyBorder="1" applyAlignment="1" applyProtection="1">
      <alignment horizontal="center"/>
      <protection hidden="1"/>
    </xf>
    <xf numFmtId="2" fontId="1" fillId="4" borderId="51" xfId="1" applyNumberFormat="1" applyFill="1" applyBorder="1" applyAlignment="1" applyProtection="1">
      <alignment horizontal="right"/>
      <protection hidden="1"/>
    </xf>
    <xf numFmtId="0" fontId="1" fillId="2" borderId="9" xfId="1" applyFill="1" applyBorder="1" applyProtection="1">
      <protection hidden="1"/>
    </xf>
    <xf numFmtId="0" fontId="1" fillId="2" borderId="10" xfId="1" applyFill="1" applyBorder="1" applyProtection="1">
      <protection hidden="1"/>
    </xf>
    <xf numFmtId="0" fontId="1" fillId="2" borderId="52" xfId="1" applyFill="1" applyBorder="1" applyProtection="1">
      <protection hidden="1"/>
    </xf>
    <xf numFmtId="2" fontId="1" fillId="2" borderId="43" xfId="1" applyNumberFormat="1" applyFill="1" applyBorder="1" applyAlignment="1" applyProtection="1">
      <alignment horizontal="right" shrinkToFit="1"/>
      <protection hidden="1"/>
    </xf>
    <xf numFmtId="0" fontId="1" fillId="2" borderId="55" xfId="1" applyFill="1" applyBorder="1" applyProtection="1">
      <protection hidden="1"/>
    </xf>
    <xf numFmtId="0" fontId="1" fillId="2" borderId="18" xfId="1" applyFill="1" applyBorder="1" applyProtection="1">
      <protection hidden="1"/>
    </xf>
    <xf numFmtId="0" fontId="1" fillId="2" borderId="56" xfId="1" applyFill="1" applyBorder="1" applyProtection="1">
      <protection hidden="1"/>
    </xf>
    <xf numFmtId="0" fontId="1" fillId="0" borderId="17" xfId="1" applyBorder="1" applyAlignment="1" applyProtection="1">
      <alignment horizontal="center"/>
      <protection hidden="1"/>
    </xf>
    <xf numFmtId="0" fontId="1" fillId="2" borderId="21" xfId="1" quotePrefix="1" applyFill="1" applyBorder="1" applyProtection="1">
      <protection hidden="1"/>
    </xf>
    <xf numFmtId="0" fontId="1" fillId="0" borderId="57" xfId="1" applyBorder="1" applyProtection="1">
      <protection hidden="1"/>
    </xf>
    <xf numFmtId="0" fontId="1" fillId="0" borderId="17" xfId="1" applyBorder="1" applyProtection="1">
      <protection hidden="1"/>
    </xf>
    <xf numFmtId="0" fontId="1" fillId="2" borderId="58" xfId="1" applyFill="1" applyBorder="1" applyProtection="1">
      <protection hidden="1"/>
    </xf>
    <xf numFmtId="0" fontId="1" fillId="2" borderId="59" xfId="1" applyFill="1" applyBorder="1" applyProtection="1">
      <protection hidden="1"/>
    </xf>
    <xf numFmtId="0" fontId="1" fillId="0" borderId="16" xfId="1" applyBorder="1" applyAlignment="1" applyProtection="1">
      <alignment horizontal="left"/>
      <protection hidden="1"/>
    </xf>
    <xf numFmtId="2" fontId="1" fillId="2" borderId="43" xfId="1" applyNumberFormat="1" applyFill="1" applyBorder="1" applyAlignment="1" applyProtection="1">
      <alignment horizontal="right"/>
      <protection hidden="1"/>
    </xf>
    <xf numFmtId="0" fontId="1" fillId="0" borderId="60" xfId="1" applyBorder="1" applyAlignment="1" applyProtection="1">
      <alignment horizontal="left"/>
      <protection hidden="1"/>
    </xf>
    <xf numFmtId="0" fontId="1" fillId="0" borderId="61" xfId="1" applyBorder="1" applyAlignment="1" applyProtection="1">
      <alignment horizontal="center"/>
      <protection hidden="1"/>
    </xf>
    <xf numFmtId="0" fontId="1" fillId="0" borderId="62" xfId="1" applyBorder="1" applyProtection="1">
      <protection hidden="1"/>
    </xf>
    <xf numFmtId="0" fontId="1" fillId="0" borderId="61" xfId="1" applyBorder="1" applyProtection="1">
      <protection hidden="1"/>
    </xf>
    <xf numFmtId="0" fontId="1" fillId="0" borderId="63" xfId="1" applyBorder="1" applyProtection="1">
      <protection hidden="1"/>
    </xf>
    <xf numFmtId="0" fontId="1" fillId="2" borderId="64" xfId="1" applyFill="1" applyBorder="1" applyProtection="1">
      <protection hidden="1"/>
    </xf>
    <xf numFmtId="0" fontId="1" fillId="0" borderId="65" xfId="1" applyBorder="1" applyProtection="1">
      <protection hidden="1"/>
    </xf>
    <xf numFmtId="0" fontId="1" fillId="2" borderId="66" xfId="1" applyFill="1" applyBorder="1" applyProtection="1">
      <protection hidden="1"/>
    </xf>
    <xf numFmtId="2" fontId="1" fillId="2" borderId="67" xfId="1" applyNumberFormat="1" applyFill="1" applyBorder="1" applyAlignment="1" applyProtection="1">
      <alignment horizontal="right"/>
      <protection hidden="1"/>
    </xf>
    <xf numFmtId="0" fontId="18" fillId="2" borderId="0" xfId="1" applyFont="1" applyFill="1" applyProtection="1">
      <protection hidden="1"/>
    </xf>
    <xf numFmtId="0" fontId="19" fillId="2" borderId="0" xfId="1" applyFont="1" applyFill="1" applyProtection="1">
      <protection hidden="1"/>
    </xf>
    <xf numFmtId="2" fontId="1" fillId="2" borderId="0" xfId="1" applyNumberFormat="1" applyFill="1" applyProtection="1">
      <protection hidden="1"/>
    </xf>
    <xf numFmtId="0" fontId="20" fillId="2" borderId="0" xfId="1" applyFont="1" applyFill="1" applyProtection="1">
      <protection hidden="1"/>
    </xf>
    <xf numFmtId="0" fontId="2" fillId="4" borderId="32" xfId="1" applyFont="1" applyFill="1" applyBorder="1" applyAlignment="1" applyProtection="1">
      <alignment horizontal="center"/>
      <protection hidden="1"/>
    </xf>
    <xf numFmtId="0" fontId="2" fillId="4" borderId="32" xfId="1" applyFont="1" applyFill="1" applyBorder="1" applyAlignment="1" applyProtection="1">
      <alignment horizontal="center" shrinkToFit="1"/>
      <protection hidden="1"/>
    </xf>
    <xf numFmtId="2" fontId="2" fillId="4" borderId="32" xfId="1" applyNumberFormat="1" applyFont="1" applyFill="1" applyBorder="1" applyAlignment="1" applyProtection="1">
      <alignment horizontal="right"/>
      <protection hidden="1"/>
    </xf>
    <xf numFmtId="0" fontId="2" fillId="0" borderId="32" xfId="1" applyFont="1" applyBorder="1" applyAlignment="1" applyProtection="1">
      <alignment horizontal="center"/>
      <protection hidden="1"/>
    </xf>
    <xf numFmtId="0" fontId="2" fillId="0" borderId="32" xfId="1" applyFont="1" applyBorder="1" applyAlignment="1" applyProtection="1">
      <alignment horizontal="center" shrinkToFit="1"/>
      <protection hidden="1"/>
    </xf>
    <xf numFmtId="2" fontId="2" fillId="0" borderId="32" xfId="1" applyNumberFormat="1" applyFont="1" applyBorder="1" applyAlignment="1" applyProtection="1">
      <alignment horizontal="right"/>
      <protection hidden="1"/>
    </xf>
    <xf numFmtId="0" fontId="19" fillId="2" borderId="32" xfId="1" applyFont="1" applyFill="1" applyBorder="1" applyProtection="1">
      <protection hidden="1"/>
    </xf>
    <xf numFmtId="2" fontId="19" fillId="2" borderId="32" xfId="1" applyNumberFormat="1" applyFont="1" applyFill="1" applyBorder="1" applyAlignment="1" applyProtection="1">
      <alignment horizontal="center"/>
      <protection hidden="1"/>
    </xf>
    <xf numFmtId="2" fontId="19" fillId="2" borderId="32" xfId="1" applyNumberFormat="1" applyFont="1" applyFill="1" applyBorder="1" applyAlignment="1" applyProtection="1">
      <alignment horizontal="right"/>
      <protection hidden="1"/>
    </xf>
    <xf numFmtId="0" fontId="21" fillId="2" borderId="0" xfId="1" applyFont="1" applyFill="1" applyAlignment="1" applyProtection="1">
      <alignment horizontal="left"/>
      <protection hidden="1"/>
    </xf>
    <xf numFmtId="0" fontId="1" fillId="2" borderId="0" xfId="1" applyFill="1" applyAlignment="1" applyProtection="1">
      <alignment horizontal="left"/>
      <protection hidden="1"/>
    </xf>
    <xf numFmtId="0" fontId="22" fillId="2" borderId="0" xfId="1" applyFont="1" applyFill="1" applyProtection="1">
      <protection hidden="1"/>
    </xf>
    <xf numFmtId="2" fontId="22" fillId="2" borderId="0" xfId="1" applyNumberFormat="1" applyFont="1" applyFill="1" applyAlignment="1" applyProtection="1">
      <alignment horizontal="right"/>
      <protection hidden="1"/>
    </xf>
    <xf numFmtId="2" fontId="2" fillId="4" borderId="32" xfId="1" applyNumberFormat="1" applyFont="1" applyFill="1" applyBorder="1" applyAlignment="1" applyProtection="1">
      <alignment horizontal="center"/>
      <protection hidden="1"/>
    </xf>
    <xf numFmtId="0" fontId="2" fillId="4" borderId="7" xfId="1" applyFont="1" applyFill="1" applyBorder="1" applyAlignment="1" applyProtection="1">
      <alignment horizontal="center"/>
      <protection hidden="1"/>
    </xf>
    <xf numFmtId="0" fontId="1" fillId="2" borderId="68" xfId="1" applyFill="1" applyBorder="1" applyProtection="1">
      <protection hidden="1"/>
    </xf>
    <xf numFmtId="2" fontId="1" fillId="2" borderId="69" xfId="1" applyNumberFormat="1" applyFill="1" applyBorder="1" applyProtection="1">
      <protection hidden="1"/>
    </xf>
    <xf numFmtId="0" fontId="1" fillId="2" borderId="70" xfId="1" applyFill="1" applyBorder="1" applyProtection="1">
      <protection hidden="1"/>
    </xf>
    <xf numFmtId="2" fontId="1" fillId="2" borderId="57" xfId="1" applyNumberFormat="1" applyFill="1" applyBorder="1" applyProtection="1">
      <protection hidden="1"/>
    </xf>
    <xf numFmtId="2" fontId="1" fillId="2" borderId="62" xfId="1" applyNumberFormat="1" applyFill="1" applyBorder="1" applyProtection="1">
      <protection hidden="1"/>
    </xf>
    <xf numFmtId="2" fontId="1" fillId="2" borderId="71" xfId="1" applyNumberFormat="1" applyFill="1" applyBorder="1" applyProtection="1">
      <protection hidden="1"/>
    </xf>
    <xf numFmtId="0" fontId="1" fillId="2" borderId="72" xfId="1" applyFill="1" applyBorder="1" applyProtection="1">
      <protection hidden="1"/>
    </xf>
    <xf numFmtId="2" fontId="1" fillId="2" borderId="63" xfId="1" applyNumberFormat="1" applyFill="1" applyBorder="1" applyProtection="1">
      <protection hidden="1"/>
    </xf>
    <xf numFmtId="0" fontId="1" fillId="4" borderId="32" xfId="1" applyFill="1" applyBorder="1" applyAlignment="1" applyProtection="1">
      <alignment horizontal="center"/>
      <protection hidden="1"/>
    </xf>
    <xf numFmtId="0" fontId="1" fillId="4" borderId="7" xfId="1" applyFill="1" applyBorder="1" applyProtection="1">
      <protection hidden="1"/>
    </xf>
    <xf numFmtId="0" fontId="1" fillId="4" borderId="31" xfId="1" applyFill="1" applyBorder="1" applyProtection="1">
      <protection hidden="1"/>
    </xf>
    <xf numFmtId="2" fontId="1" fillId="4" borderId="32" xfId="1" applyNumberFormat="1" applyFill="1" applyBorder="1" applyAlignment="1" applyProtection="1">
      <alignment horizontal="right"/>
      <protection hidden="1"/>
    </xf>
    <xf numFmtId="0" fontId="1" fillId="2" borderId="68" xfId="1" quotePrefix="1" applyFill="1" applyBorder="1" applyAlignment="1" applyProtection="1">
      <alignment horizontal="center"/>
      <protection hidden="1"/>
    </xf>
    <xf numFmtId="0" fontId="2" fillId="2" borderId="69" xfId="1" applyFont="1" applyFill="1" applyBorder="1" applyProtection="1">
      <protection hidden="1"/>
    </xf>
    <xf numFmtId="0" fontId="1" fillId="2" borderId="73" xfId="1" applyFill="1" applyBorder="1" applyProtection="1">
      <protection hidden="1"/>
    </xf>
    <xf numFmtId="0" fontId="1" fillId="2" borderId="74" xfId="1" applyFill="1" applyBorder="1" applyProtection="1">
      <protection hidden="1"/>
    </xf>
    <xf numFmtId="2" fontId="1" fillId="2" borderId="68" xfId="1" applyNumberFormat="1" applyFill="1" applyBorder="1" applyProtection="1">
      <protection hidden="1"/>
    </xf>
    <xf numFmtId="2" fontId="1" fillId="0" borderId="68" xfId="1" applyNumberFormat="1" applyBorder="1" applyAlignment="1" applyProtection="1">
      <alignment horizontal="right"/>
      <protection hidden="1"/>
    </xf>
    <xf numFmtId="0" fontId="1" fillId="2" borderId="75" xfId="1" quotePrefix="1" applyFill="1" applyBorder="1" applyAlignment="1" applyProtection="1">
      <alignment horizontal="center"/>
      <protection hidden="1"/>
    </xf>
    <xf numFmtId="0" fontId="2" fillId="2" borderId="21" xfId="1" applyFont="1" applyFill="1" applyBorder="1" applyProtection="1">
      <protection hidden="1"/>
    </xf>
    <xf numFmtId="0" fontId="1" fillId="2" borderId="43" xfId="1" applyFill="1" applyBorder="1" applyProtection="1">
      <protection hidden="1"/>
    </xf>
    <xf numFmtId="0" fontId="1" fillId="2" borderId="75" xfId="1" applyFill="1" applyBorder="1" applyProtection="1">
      <protection hidden="1"/>
    </xf>
    <xf numFmtId="2" fontId="1" fillId="0" borderId="75" xfId="1" applyNumberFormat="1" applyBorder="1" applyAlignment="1" applyProtection="1">
      <alignment horizontal="right"/>
      <protection hidden="1"/>
    </xf>
    <xf numFmtId="0" fontId="1" fillId="2" borderId="75" xfId="1" applyFill="1" applyBorder="1" applyAlignment="1" applyProtection="1">
      <alignment horizontal="center"/>
      <protection hidden="1"/>
    </xf>
    <xf numFmtId="0" fontId="1" fillId="2" borderId="76" xfId="1" applyFill="1" applyBorder="1" applyAlignment="1" applyProtection="1">
      <alignment horizontal="center"/>
      <protection hidden="1"/>
    </xf>
    <xf numFmtId="0" fontId="1" fillId="2" borderId="22" xfId="1" applyFill="1" applyBorder="1" applyProtection="1">
      <protection hidden="1"/>
    </xf>
    <xf numFmtId="0" fontId="1" fillId="2" borderId="67" xfId="1" applyFill="1" applyBorder="1" applyProtection="1">
      <protection hidden="1"/>
    </xf>
    <xf numFmtId="0" fontId="1" fillId="2" borderId="76" xfId="1" applyFill="1" applyBorder="1" applyProtection="1">
      <protection hidden="1"/>
    </xf>
    <xf numFmtId="2" fontId="1" fillId="0" borderId="76" xfId="1" applyNumberFormat="1" applyBorder="1" applyAlignment="1" applyProtection="1">
      <alignment horizontal="right"/>
      <protection hidden="1"/>
    </xf>
    <xf numFmtId="2" fontId="1" fillId="0" borderId="0" xfId="1" applyNumberFormat="1" applyProtection="1">
      <protection hidden="1"/>
    </xf>
    <xf numFmtId="2" fontId="1" fillId="0" borderId="0" xfId="1" applyNumberFormat="1" applyAlignment="1" applyProtection="1">
      <alignment horizontal="center"/>
      <protection hidden="1"/>
    </xf>
    <xf numFmtId="2" fontId="2" fillId="4" borderId="7" xfId="1" applyNumberFormat="1" applyFont="1" applyFill="1" applyBorder="1" applyAlignment="1" applyProtection="1">
      <alignment horizontal="right"/>
      <protection hidden="1"/>
    </xf>
    <xf numFmtId="0" fontId="1" fillId="0" borderId="77" xfId="1" applyBorder="1"/>
    <xf numFmtId="0" fontId="1" fillId="0" borderId="35" xfId="1" applyBorder="1"/>
    <xf numFmtId="2" fontId="1" fillId="0" borderId="35" xfId="1" applyNumberFormat="1" applyBorder="1" applyAlignment="1">
      <alignment horizontal="right"/>
    </xf>
    <xf numFmtId="2" fontId="1" fillId="0" borderId="36" xfId="1" applyNumberFormat="1" applyBorder="1" applyAlignment="1" applyProtection="1">
      <alignment horizontal="center"/>
      <protection hidden="1"/>
    </xf>
    <xf numFmtId="0" fontId="1" fillId="0" borderId="32" xfId="1" applyBorder="1" applyAlignment="1" applyProtection="1">
      <alignment horizontal="center"/>
      <protection hidden="1"/>
    </xf>
    <xf numFmtId="2" fontId="1" fillId="0" borderId="7" xfId="1" applyNumberFormat="1" applyBorder="1" applyAlignment="1" applyProtection="1">
      <alignment horizontal="right"/>
      <protection hidden="1"/>
    </xf>
    <xf numFmtId="0" fontId="1" fillId="0" borderId="78" xfId="1" applyBorder="1" applyAlignment="1">
      <alignment horizontal="center"/>
    </xf>
    <xf numFmtId="0" fontId="1" fillId="0" borderId="0" xfId="1" applyAlignment="1">
      <alignment horizontal="center"/>
    </xf>
    <xf numFmtId="2" fontId="1" fillId="0" borderId="43" xfId="1" applyNumberFormat="1" applyBorder="1" applyAlignment="1">
      <alignment horizontal="center"/>
    </xf>
    <xf numFmtId="2" fontId="19" fillId="2" borderId="7" xfId="1" applyNumberFormat="1" applyFont="1" applyFill="1" applyBorder="1" applyAlignment="1" applyProtection="1">
      <alignment horizontal="right"/>
      <protection hidden="1"/>
    </xf>
    <xf numFmtId="3" fontId="1" fillId="0" borderId="43" xfId="1" applyNumberFormat="1" applyBorder="1" applyAlignment="1">
      <alignment horizontal="center"/>
    </xf>
    <xf numFmtId="0" fontId="1" fillId="0" borderId="79" xfId="1" applyBorder="1" applyAlignment="1">
      <alignment horizontal="center"/>
    </xf>
    <xf numFmtId="0" fontId="1" fillId="0" borderId="22" xfId="1" applyBorder="1" applyAlignment="1">
      <alignment horizontal="center"/>
    </xf>
    <xf numFmtId="0" fontId="1" fillId="0" borderId="22" xfId="1" applyBorder="1"/>
    <xf numFmtId="3" fontId="1" fillId="0" borderId="67" xfId="1" applyNumberFormat="1" applyBorder="1" applyAlignment="1">
      <alignment horizontal="center"/>
    </xf>
    <xf numFmtId="0" fontId="1" fillId="0" borderId="80" xfId="1" applyBorder="1"/>
    <xf numFmtId="0" fontId="1" fillId="0" borderId="31" xfId="1" applyBorder="1"/>
    <xf numFmtId="0" fontId="1" fillId="0" borderId="8" xfId="1" applyBorder="1" applyAlignment="1">
      <alignment horizontal="center"/>
    </xf>
    <xf numFmtId="3" fontId="1" fillId="0" borderId="32" xfId="1" applyNumberFormat="1" applyBorder="1" applyAlignment="1">
      <alignment horizontal="center"/>
    </xf>
    <xf numFmtId="0" fontId="3" fillId="0" borderId="32" xfId="1" applyFont="1" applyBorder="1" applyAlignment="1" applyProtection="1">
      <alignment horizontal="left"/>
      <protection hidden="1"/>
    </xf>
    <xf numFmtId="0" fontId="3" fillId="0" borderId="32" xfId="1" applyFont="1" applyBorder="1" applyAlignment="1" applyProtection="1">
      <alignment horizontal="center"/>
      <protection hidden="1"/>
    </xf>
    <xf numFmtId="2" fontId="3" fillId="0" borderId="7" xfId="1" applyNumberFormat="1" applyFont="1" applyBorder="1" applyAlignment="1" applyProtection="1">
      <alignment horizontal="right"/>
      <protection hidden="1"/>
    </xf>
    <xf numFmtId="3" fontId="1" fillId="0" borderId="8" xfId="1" applyNumberFormat="1" applyBorder="1" applyAlignment="1">
      <alignment horizontal="center"/>
    </xf>
    <xf numFmtId="0" fontId="19" fillId="2" borderId="32" xfId="1" applyFont="1" applyFill="1" applyBorder="1" applyAlignment="1" applyProtection="1">
      <alignment horizontal="left"/>
      <protection hidden="1"/>
    </xf>
    <xf numFmtId="0" fontId="2" fillId="0" borderId="0" xfId="1" applyFont="1" applyAlignment="1">
      <alignment horizontal="left"/>
    </xf>
    <xf numFmtId="0" fontId="1" fillId="0" borderId="81" xfId="1" applyBorder="1"/>
    <xf numFmtId="0" fontId="1" fillId="0" borderId="82" xfId="1" applyBorder="1" applyAlignment="1">
      <alignment horizontal="left"/>
    </xf>
    <xf numFmtId="0" fontId="1" fillId="0" borderId="82" xfId="1" applyBorder="1"/>
    <xf numFmtId="2" fontId="1" fillId="0" borderId="83" xfId="1" applyNumberFormat="1" applyBorder="1" applyAlignment="1">
      <alignment horizontal="right"/>
    </xf>
    <xf numFmtId="0" fontId="1" fillId="0" borderId="48" xfId="1" applyBorder="1"/>
    <xf numFmtId="2" fontId="1" fillId="0" borderId="47" xfId="1" applyNumberFormat="1" applyBorder="1" applyAlignment="1">
      <alignment horizontal="right"/>
    </xf>
    <xf numFmtId="0" fontId="1" fillId="0" borderId="84" xfId="1" applyBorder="1"/>
    <xf numFmtId="0" fontId="1" fillId="0" borderId="85" xfId="1" applyBorder="1" applyAlignment="1">
      <alignment horizontal="left"/>
    </xf>
    <xf numFmtId="0" fontId="1" fillId="0" borderId="85" xfId="1" applyBorder="1"/>
    <xf numFmtId="2" fontId="1" fillId="0" borderId="86" xfId="1" applyNumberFormat="1" applyBorder="1" applyAlignment="1">
      <alignment horizontal="right"/>
    </xf>
    <xf numFmtId="2" fontId="1" fillId="0" borderId="0" xfId="1" applyNumberFormat="1" applyAlignment="1">
      <alignment horizontal="center"/>
    </xf>
    <xf numFmtId="0" fontId="1" fillId="0" borderId="83" xfId="1" applyBorder="1"/>
    <xf numFmtId="2" fontId="2" fillId="4" borderId="7" xfId="1" applyNumberFormat="1" applyFont="1" applyFill="1" applyBorder="1" applyAlignment="1" applyProtection="1">
      <alignment horizontal="center"/>
      <protection hidden="1"/>
    </xf>
    <xf numFmtId="0" fontId="1" fillId="0" borderId="47" xfId="1" applyBorder="1"/>
    <xf numFmtId="0" fontId="19" fillId="0" borderId="32" xfId="1" applyFont="1" applyBorder="1" applyAlignment="1" applyProtection="1">
      <alignment horizontal="center"/>
      <protection hidden="1"/>
    </xf>
    <xf numFmtId="2" fontId="19" fillId="0" borderId="7" xfId="1" applyNumberFormat="1" applyFont="1" applyBorder="1" applyAlignment="1" applyProtection="1">
      <alignment horizontal="center"/>
      <protection hidden="1"/>
    </xf>
    <xf numFmtId="0" fontId="1" fillId="0" borderId="86" xfId="1" applyBorder="1"/>
    <xf numFmtId="0" fontId="19" fillId="2" borderId="32" xfId="1" applyFont="1" applyFill="1" applyBorder="1" applyAlignment="1" applyProtection="1">
      <alignment horizontal="center"/>
      <protection hidden="1"/>
    </xf>
    <xf numFmtId="2" fontId="19" fillId="2" borderId="7" xfId="1" applyNumberFormat="1" applyFont="1" applyFill="1" applyBorder="1" applyAlignment="1" applyProtection="1">
      <alignment horizontal="center"/>
      <protection hidden="1"/>
    </xf>
    <xf numFmtId="1" fontId="1" fillId="0" borderId="0" xfId="1" applyNumberFormat="1"/>
    <xf numFmtId="0" fontId="19" fillId="0" borderId="32" xfId="1" applyFont="1" applyBorder="1" applyAlignment="1" applyProtection="1">
      <alignment horizontal="right"/>
      <protection hidden="1"/>
    </xf>
    <xf numFmtId="2" fontId="19" fillId="0" borderId="7" xfId="1" applyNumberFormat="1" applyFont="1" applyBorder="1" applyAlignment="1" applyProtection="1">
      <alignment horizontal="right"/>
      <protection hidden="1"/>
    </xf>
    <xf numFmtId="0" fontId="23" fillId="2" borderId="7" xfId="1" applyFont="1" applyFill="1" applyBorder="1" applyProtection="1">
      <protection hidden="1"/>
    </xf>
    <xf numFmtId="2" fontId="9" fillId="0" borderId="33" xfId="1" applyNumberFormat="1" applyFont="1" applyBorder="1" applyAlignment="1" applyProtection="1">
      <alignment horizontal="right" shrinkToFit="1"/>
      <protection hidden="1"/>
    </xf>
    <xf numFmtId="164" fontId="1" fillId="2" borderId="33" xfId="1" applyNumberFormat="1" applyFill="1" applyBorder="1" applyAlignment="1" applyProtection="1">
      <alignment horizontal="center" shrinkToFit="1"/>
      <protection hidden="1"/>
    </xf>
    <xf numFmtId="165" fontId="1" fillId="2" borderId="32" xfId="1" applyNumberFormat="1" applyFill="1" applyBorder="1" applyAlignment="1" applyProtection="1">
      <alignment horizontal="center" shrinkToFit="1"/>
      <protection hidden="1"/>
    </xf>
    <xf numFmtId="165" fontId="1" fillId="2" borderId="35" xfId="1" applyNumberFormat="1" applyFill="1" applyBorder="1" applyAlignment="1" applyProtection="1">
      <alignment horizontal="center" shrinkToFit="1"/>
      <protection hidden="1"/>
    </xf>
    <xf numFmtId="2" fontId="16" fillId="2" borderId="26" xfId="1" applyNumberFormat="1" applyFont="1" applyFill="1" applyBorder="1" applyAlignment="1" applyProtection="1">
      <alignment horizontal="right" shrinkToFit="1"/>
      <protection hidden="1"/>
    </xf>
    <xf numFmtId="164" fontId="1" fillId="2" borderId="32" xfId="1" applyNumberFormat="1" applyFill="1" applyBorder="1" applyAlignment="1" applyProtection="1">
      <alignment horizontal="center"/>
      <protection hidden="1"/>
    </xf>
    <xf numFmtId="2" fontId="24" fillId="0" borderId="33" xfId="1" applyNumberFormat="1" applyFont="1" applyBorder="1" applyAlignment="1" applyProtection="1">
      <alignment horizontal="right" shrinkToFit="1"/>
      <protection hidden="1"/>
    </xf>
    <xf numFmtId="2" fontId="1" fillId="0" borderId="32" xfId="1" applyNumberFormat="1" applyBorder="1" applyAlignment="1" applyProtection="1">
      <alignment horizontal="right" shrinkToFit="1"/>
      <protection hidden="1"/>
    </xf>
    <xf numFmtId="2" fontId="9" fillId="0" borderId="38" xfId="1" applyNumberFormat="1" applyFont="1" applyBorder="1" applyAlignment="1" applyProtection="1">
      <alignment horizontal="right" shrinkToFit="1"/>
      <protection hidden="1"/>
    </xf>
    <xf numFmtId="2" fontId="9" fillId="0" borderId="40" xfId="1" applyNumberFormat="1" applyFont="1" applyBorder="1" applyAlignment="1" applyProtection="1">
      <alignment horizontal="right" shrinkToFit="1"/>
      <protection hidden="1"/>
    </xf>
    <xf numFmtId="0" fontId="1" fillId="4" borderId="49" xfId="1" applyFill="1" applyBorder="1" applyAlignment="1" applyProtection="1">
      <alignment horizontal="center"/>
      <protection hidden="1"/>
    </xf>
    <xf numFmtId="0" fontId="1" fillId="4" borderId="50" xfId="1" applyFill="1" applyBorder="1" applyAlignment="1" applyProtection="1">
      <alignment horizontal="center"/>
      <protection hidden="1"/>
    </xf>
    <xf numFmtId="0" fontId="2" fillId="0" borderId="12" xfId="1" applyFont="1" applyBorder="1" applyAlignment="1" applyProtection="1">
      <alignment horizontal="center" shrinkToFit="1"/>
      <protection locked="0"/>
    </xf>
    <xf numFmtId="0" fontId="2" fillId="0" borderId="13" xfId="1" applyFont="1" applyBorder="1" applyAlignment="1" applyProtection="1">
      <alignment horizontal="center" shrinkToFit="1"/>
      <protection locked="0"/>
    </xf>
    <xf numFmtId="0" fontId="2" fillId="0" borderId="16" xfId="1" applyFont="1" applyBorder="1" applyAlignment="1" applyProtection="1">
      <alignment horizontal="center"/>
      <protection locked="0"/>
    </xf>
    <xf numFmtId="0" fontId="2" fillId="0" borderId="17" xfId="1" applyFont="1" applyBorder="1" applyAlignment="1" applyProtection="1">
      <alignment horizontal="center"/>
      <protection locked="0"/>
    </xf>
    <xf numFmtId="0" fontId="2" fillId="2" borderId="16" xfId="1" applyFont="1" applyFill="1" applyBorder="1" applyAlignment="1" applyProtection="1">
      <alignment horizontal="center" shrinkToFit="1"/>
      <protection locked="0"/>
    </xf>
    <xf numFmtId="0" fontId="2" fillId="2" borderId="17" xfId="1" applyFont="1" applyFill="1" applyBorder="1" applyAlignment="1" applyProtection="1">
      <alignment horizontal="center" shrinkToFit="1"/>
      <protection locked="0"/>
    </xf>
    <xf numFmtId="0" fontId="2" fillId="2" borderId="16" xfId="1" applyFont="1" applyFill="1" applyBorder="1" applyAlignment="1" applyProtection="1">
      <alignment horizontal="center"/>
      <protection locked="0"/>
    </xf>
    <xf numFmtId="0" fontId="2" fillId="2" borderId="17" xfId="1" applyFont="1" applyFill="1" applyBorder="1" applyAlignment="1" applyProtection="1">
      <alignment horizontal="center"/>
      <protection locked="0"/>
    </xf>
    <xf numFmtId="0" fontId="1" fillId="4" borderId="34" xfId="1" applyFill="1" applyBorder="1" applyAlignment="1" applyProtection="1">
      <alignment horizontal="center"/>
      <protection hidden="1"/>
    </xf>
    <xf numFmtId="0" fontId="1" fillId="4" borderId="36" xfId="1" applyFill="1" applyBorder="1" applyAlignment="1" applyProtection="1">
      <alignment horizontal="center"/>
      <protection hidden="1"/>
    </xf>
    <xf numFmtId="0" fontId="1" fillId="0" borderId="16" xfId="1" applyBorder="1" applyAlignment="1" applyProtection="1">
      <alignment horizontal="center"/>
      <protection hidden="1"/>
    </xf>
    <xf numFmtId="0" fontId="1" fillId="0" borderId="17" xfId="1" applyBorder="1" applyAlignment="1" applyProtection="1">
      <alignment horizontal="center"/>
      <protection hidden="1"/>
    </xf>
    <xf numFmtId="0" fontId="1" fillId="0" borderId="53" xfId="1" applyBorder="1" applyAlignment="1" applyProtection="1">
      <alignment horizontal="center"/>
      <protection hidden="1"/>
    </xf>
    <xf numFmtId="0" fontId="1" fillId="0" borderId="54" xfId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F44C8205-1C07-41F8-9F22-7290B1B541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512233</xdr:colOff>
      <xdr:row>0</xdr:row>
      <xdr:rowOff>80433</xdr:rowOff>
    </xdr:from>
    <xdr:to>
      <xdr:col>1</xdr:col>
      <xdr:colOff>665691</xdr:colOff>
      <xdr:row>4</xdr:row>
      <xdr:rowOff>128058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F14CB9-C1FB-4118-A8BE-82910AD0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2233" y="1045633"/>
          <a:ext cx="775758" cy="691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342900</xdr:colOff>
      <xdr:row>0</xdr:row>
      <xdr:rowOff>0</xdr:rowOff>
    </xdr:from>
    <xdr:to>
      <xdr:col>3</xdr:col>
      <xdr:colOff>1085850</xdr:colOff>
      <xdr:row>4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2465C3D3-58BA-4D4A-9CBE-F77AFC185B0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5400" y="757767"/>
          <a:ext cx="1492249" cy="850900"/>
        </a:xfrm>
        <a:prstGeom prst="rect">
          <a:avLst/>
        </a:prstGeom>
      </xdr:spPr>
      <xdr:txBody>
        <a:bodyPr wrap="none" fromWordArt="1">
          <a:prstTxWarp prst="textStop">
            <a:avLst>
              <a:gd name="adj" fmla="val 22222"/>
            </a:avLst>
          </a:prstTxWarp>
          <a:scene3d>
            <a:camera prst="legacyPerspectiveFront">
              <a:rot lat="20519999" lon="1080000" rev="0"/>
            </a:camera>
            <a:lightRig rig="legacyHarsh2" dir="b"/>
          </a:scene3d>
          <a:sp3d extrusionH="430200" prstMaterial="legacyMatte">
            <a:extrusionClr>
              <a:srgbClr val="FF6600"/>
            </a:extrusionClr>
          </a:sp3d>
        </a:bodyPr>
        <a:lstStyle/>
        <a:p>
          <a:pPr algn="ctr" rtl="0"/>
          <a:r>
            <a:rPr lang="fa-IR" sz="1200" kern="10" spc="0">
              <a:ln w="9525">
                <a:round/>
                <a:headEnd/>
                <a:tailEnd/>
              </a:ln>
              <a:solidFill>
                <a:srgbClr val="000080"/>
              </a:solidFill>
              <a:effectLst/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333375</xdr:colOff>
      <xdr:row>0</xdr:row>
      <xdr:rowOff>0</xdr:rowOff>
    </xdr:from>
    <xdr:to>
      <xdr:col>3</xdr:col>
      <xdr:colOff>1076325</xdr:colOff>
      <xdr:row>4</xdr:row>
      <xdr:rowOff>0</xdr:rowOff>
    </xdr:to>
    <xdr:sp macro="" textlink="">
      <xdr:nvSpPr>
        <xdr:cNvPr id="4" name="WordArt 3">
          <a:extLst>
            <a:ext uri="{FF2B5EF4-FFF2-40B4-BE49-F238E27FC236}">
              <a16:creationId xmlns:a16="http://schemas.microsoft.com/office/drawing/2014/main" id="{EAB20E3E-5563-4024-8B22-9955FF4F994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55875" y="776817"/>
          <a:ext cx="1504949" cy="831850"/>
        </a:xfrm>
        <a:prstGeom prst="rect">
          <a:avLst/>
        </a:prstGeom>
      </xdr:spPr>
      <xdr:txBody>
        <a:bodyPr wrap="none" fromWordArt="1">
          <a:prstTxWarp prst="textTriangle">
            <a:avLst>
              <a:gd name="adj" fmla="val 50000"/>
            </a:avLst>
          </a:prstTxWarp>
        </a:bodyPr>
        <a:lstStyle/>
        <a:p>
          <a:pPr algn="ctr" rtl="0"/>
          <a:r>
            <a:rPr lang="en-US" sz="1200" kern="10" spc="0">
              <a:ln w="9525">
                <a:noFill/>
                <a:round/>
                <a:headEnd/>
                <a:tailEnd/>
              </a:ln>
              <a:solidFill>
                <a:srgbClr val="000080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Arial"/>
              <a:cs typeface="Arial"/>
            </a:rPr>
            <a:t>Star Marine Services Ltd.</a:t>
          </a:r>
          <a:endParaRPr lang="fa-IR" sz="1200" kern="10" spc="0">
            <a:ln w="9525">
              <a:noFill/>
              <a:round/>
              <a:headEnd/>
              <a:tailEnd/>
            </a:ln>
            <a:solidFill>
              <a:srgbClr val="000080"/>
            </a:solidFill>
            <a:effectLst>
              <a:outerShdw dist="45791" dir="2021404" algn="ctr" rotWithShape="0">
                <a:srgbClr val="C0C0C0"/>
              </a:outerShdw>
            </a:effectLst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19FD-1801-407A-93DA-91D575345FD8}">
  <dimension ref="A1:H172"/>
  <sheetViews>
    <sheetView showGridLines="0" showZeros="0" tabSelected="1" view="pageLayout" topLeftCell="A27" workbookViewId="0">
      <selection activeCell="D52" sqref="D52"/>
    </sheetView>
  </sheetViews>
  <sheetFormatPr defaultColWidth="9.1328125" defaultRowHeight="14.75" x14ac:dyDescent="0.75"/>
  <cols>
    <col min="1" max="1" width="8.7265625" customWidth="1"/>
    <col min="2" max="2" width="22.31640625" customWidth="1"/>
    <col min="3" max="3" width="16" customWidth="1"/>
    <col min="4" max="4" width="9.6796875" customWidth="1"/>
    <col min="5" max="5" width="16.31640625" customWidth="1"/>
    <col min="6" max="6" width="15.6796875" customWidth="1"/>
    <col min="7" max="7" width="15.1796875" customWidth="1"/>
    <col min="10" max="10" width="10.1328125" bestFit="1" customWidth="1"/>
  </cols>
  <sheetData>
    <row r="1" spans="1:7" s="1" customFormat="1" ht="13" x14ac:dyDescent="0.6">
      <c r="G1" s="2"/>
    </row>
    <row r="2" spans="1:7" s="1" customFormat="1" ht="13" x14ac:dyDescent="0.6">
      <c r="G2" s="2"/>
    </row>
    <row r="3" spans="1:7" s="1" customFormat="1" ht="13" x14ac:dyDescent="0.6">
      <c r="G3" s="2"/>
    </row>
    <row r="4" spans="1:7" s="1" customFormat="1" ht="13" x14ac:dyDescent="0.6">
      <c r="G4" s="2"/>
    </row>
    <row r="5" spans="1:7" s="1" customFormat="1" ht="13" x14ac:dyDescent="0.6">
      <c r="G5" s="2"/>
    </row>
    <row r="6" spans="1:7" s="1" customFormat="1" ht="13" x14ac:dyDescent="0.6">
      <c r="G6" s="2"/>
    </row>
    <row r="7" spans="1:7" s="4" customFormat="1" ht="17.25" customHeight="1" x14ac:dyDescent="0.6">
      <c r="A7" s="3" t="s">
        <v>0</v>
      </c>
      <c r="C7" s="5"/>
      <c r="D7" s="6"/>
      <c r="E7" s="7" t="s">
        <v>1</v>
      </c>
      <c r="F7" s="8" t="s">
        <v>2</v>
      </c>
      <c r="G7" s="9"/>
    </row>
    <row r="8" spans="1:7" ht="15.5" thickBot="1" x14ac:dyDescent="0.9">
      <c r="A8" s="10"/>
      <c r="B8" s="11"/>
      <c r="C8" s="10"/>
      <c r="D8" s="10"/>
      <c r="E8" s="10"/>
      <c r="F8" s="10"/>
      <c r="G8" s="12"/>
    </row>
    <row r="9" spans="1:7" s="19" customFormat="1" ht="14.5" thickTop="1" thickBot="1" x14ac:dyDescent="0.75">
      <c r="A9" s="13" t="s">
        <v>3</v>
      </c>
      <c r="B9" s="14" t="s">
        <v>2</v>
      </c>
      <c r="C9" s="15" t="s">
        <v>4</v>
      </c>
      <c r="D9" s="15"/>
      <c r="E9" s="16" t="s">
        <v>5</v>
      </c>
      <c r="F9" s="17"/>
      <c r="G9" s="18"/>
    </row>
    <row r="10" spans="1:7" s="25" customFormat="1" ht="13" x14ac:dyDescent="0.6">
      <c r="A10" s="20" t="s">
        <v>6</v>
      </c>
      <c r="B10" s="21" t="s">
        <v>7</v>
      </c>
      <c r="C10" s="22"/>
      <c r="D10" s="23"/>
      <c r="E10" s="265"/>
      <c r="F10" s="266"/>
      <c r="G10" s="24"/>
    </row>
    <row r="11" spans="1:7" s="25" customFormat="1" ht="14.25" customHeight="1" x14ac:dyDescent="0.6">
      <c r="A11" s="26" t="s">
        <v>8</v>
      </c>
      <c r="B11" s="27" t="s">
        <v>9</v>
      </c>
      <c r="C11" s="28"/>
      <c r="D11" s="28" t="s">
        <v>2</v>
      </c>
      <c r="E11" s="267"/>
      <c r="F11" s="268"/>
      <c r="G11" s="24"/>
    </row>
    <row r="12" spans="1:7" s="25" customFormat="1" ht="13" x14ac:dyDescent="0.6">
      <c r="A12" s="26" t="s">
        <v>10</v>
      </c>
      <c r="B12" s="27" t="s">
        <v>11</v>
      </c>
      <c r="C12" s="28"/>
      <c r="D12" s="28">
        <v>0</v>
      </c>
      <c r="E12" s="30">
        <v>0</v>
      </c>
      <c r="F12" s="29"/>
      <c r="G12" s="24"/>
    </row>
    <row r="13" spans="1:7" s="25" customFormat="1" ht="13" x14ac:dyDescent="0.6">
      <c r="A13" s="26" t="s">
        <v>12</v>
      </c>
      <c r="B13" s="27" t="s">
        <v>13</v>
      </c>
      <c r="C13" s="28"/>
      <c r="D13" s="28"/>
      <c r="E13" s="30">
        <v>0</v>
      </c>
      <c r="F13" s="29"/>
      <c r="G13" s="24"/>
    </row>
    <row r="14" spans="1:7" s="4" customFormat="1" ht="13" x14ac:dyDescent="0.6">
      <c r="A14" s="26" t="s">
        <v>14</v>
      </c>
      <c r="B14" s="31" t="s">
        <v>15</v>
      </c>
      <c r="C14" s="32"/>
      <c r="D14" s="33"/>
      <c r="E14" s="269" t="s">
        <v>2</v>
      </c>
      <c r="F14" s="270"/>
      <c r="G14" s="12"/>
    </row>
    <row r="15" spans="1:7" s="4" customFormat="1" ht="13" x14ac:dyDescent="0.6">
      <c r="A15" s="26" t="s">
        <v>16</v>
      </c>
      <c r="B15" s="34" t="s">
        <v>17</v>
      </c>
      <c r="C15" s="35"/>
      <c r="D15" s="36"/>
      <c r="E15" s="271">
        <v>0</v>
      </c>
      <c r="F15" s="272"/>
      <c r="G15" s="12" t="s">
        <v>2</v>
      </c>
    </row>
    <row r="16" spans="1:7" s="4" customFormat="1" ht="13" x14ac:dyDescent="0.6">
      <c r="A16" s="26" t="s">
        <v>18</v>
      </c>
      <c r="B16" s="34" t="s">
        <v>19</v>
      </c>
      <c r="C16" s="35"/>
      <c r="D16" s="36"/>
      <c r="E16" s="37">
        <v>0</v>
      </c>
      <c r="F16" s="38"/>
      <c r="G16" s="12"/>
    </row>
    <row r="17" spans="1:7" s="4" customFormat="1" ht="13" x14ac:dyDescent="0.6">
      <c r="A17" s="26" t="s">
        <v>20</v>
      </c>
      <c r="B17" s="39" t="s">
        <v>21</v>
      </c>
      <c r="C17" s="40"/>
      <c r="D17" s="41"/>
      <c r="E17" s="37">
        <v>0</v>
      </c>
      <c r="F17" s="42"/>
      <c r="G17" s="12"/>
    </row>
    <row r="18" spans="1:7" s="4" customFormat="1" ht="13" x14ac:dyDescent="0.6">
      <c r="A18" s="26" t="s">
        <v>22</v>
      </c>
      <c r="B18" s="34" t="s">
        <v>23</v>
      </c>
      <c r="C18" s="43"/>
      <c r="D18" s="36"/>
      <c r="E18" s="37"/>
      <c r="F18" s="44"/>
      <c r="G18" s="12"/>
    </row>
    <row r="19" spans="1:7" s="4" customFormat="1" ht="13" x14ac:dyDescent="0.6">
      <c r="A19" s="26" t="s">
        <v>24</v>
      </c>
      <c r="B19" s="34" t="s">
        <v>25</v>
      </c>
      <c r="C19" s="43"/>
      <c r="D19" s="36"/>
      <c r="E19" s="37"/>
      <c r="F19" s="44" t="s">
        <v>2</v>
      </c>
      <c r="G19" s="12"/>
    </row>
    <row r="20" spans="1:7" s="4" customFormat="1" ht="13" x14ac:dyDescent="0.6">
      <c r="A20" s="26" t="s">
        <v>26</v>
      </c>
      <c r="B20" s="34" t="s">
        <v>27</v>
      </c>
      <c r="C20" s="43"/>
      <c r="D20" s="43"/>
      <c r="E20" s="37">
        <v>0</v>
      </c>
      <c r="F20" s="45" t="s">
        <v>28</v>
      </c>
      <c r="G20" s="12"/>
    </row>
    <row r="21" spans="1:7" s="4" customFormat="1" ht="13" x14ac:dyDescent="0.6">
      <c r="A21" s="26" t="s">
        <v>29</v>
      </c>
      <c r="B21" s="34" t="s">
        <v>30</v>
      </c>
      <c r="C21" s="43"/>
      <c r="D21" s="43"/>
      <c r="E21" s="46">
        <v>0</v>
      </c>
      <c r="F21" s="45"/>
      <c r="G21" s="47"/>
    </row>
    <row r="22" spans="1:7" s="4" customFormat="1" ht="13" x14ac:dyDescent="0.6">
      <c r="A22" s="26" t="s">
        <v>31</v>
      </c>
      <c r="B22" s="34" t="s">
        <v>32</v>
      </c>
      <c r="C22" s="43"/>
      <c r="D22" s="43"/>
      <c r="E22" s="46">
        <v>0</v>
      </c>
      <c r="F22" s="45"/>
      <c r="G22" s="9"/>
    </row>
    <row r="23" spans="1:7" s="4" customFormat="1" ht="13" x14ac:dyDescent="0.6">
      <c r="A23" s="26" t="s">
        <v>33</v>
      </c>
      <c r="B23" s="48" t="s">
        <v>34</v>
      </c>
      <c r="C23" s="43"/>
      <c r="D23" s="43"/>
      <c r="E23" s="49">
        <v>0</v>
      </c>
      <c r="F23" s="45" t="s">
        <v>35</v>
      </c>
      <c r="G23" s="50"/>
    </row>
    <row r="24" spans="1:7" s="4" customFormat="1" ht="13.75" thickBot="1" x14ac:dyDescent="0.75">
      <c r="A24" s="26" t="s">
        <v>36</v>
      </c>
      <c r="B24" s="51" t="s">
        <v>37</v>
      </c>
      <c r="C24" s="52"/>
      <c r="D24" s="52"/>
      <c r="E24" s="53">
        <f>+E23*24</f>
        <v>0</v>
      </c>
      <c r="F24" s="54" t="s">
        <v>38</v>
      </c>
      <c r="G24" s="50"/>
    </row>
    <row r="25" spans="1:7" s="4" customFormat="1" ht="13.75" thickTop="1" x14ac:dyDescent="0.6">
      <c r="A25" s="55"/>
      <c r="B25" s="56"/>
      <c r="C25" s="55"/>
      <c r="D25" s="55"/>
      <c r="F25" s="47"/>
      <c r="G25" s="9"/>
    </row>
    <row r="26" spans="1:7" s="59" customFormat="1" ht="15.75" customHeight="1" thickBot="1" x14ac:dyDescent="0.85">
      <c r="A26" s="57" t="s">
        <v>39</v>
      </c>
      <c r="B26" s="58" t="s">
        <v>40</v>
      </c>
      <c r="G26" s="60"/>
    </row>
    <row r="27" spans="1:7" s="68" customFormat="1" ht="15.75" customHeight="1" thickBot="1" x14ac:dyDescent="0.75">
      <c r="A27" s="61" t="s">
        <v>41</v>
      </c>
      <c r="B27" s="62" t="s">
        <v>42</v>
      </c>
      <c r="C27" s="63"/>
      <c r="D27" s="64"/>
      <c r="E27" s="65" t="s">
        <v>43</v>
      </c>
      <c r="F27" s="66" t="s">
        <v>44</v>
      </c>
      <c r="G27" s="67" t="s">
        <v>45</v>
      </c>
    </row>
    <row r="28" spans="1:7" s="1" customFormat="1" ht="15.75" customHeight="1" thickTop="1" thickBot="1" x14ac:dyDescent="0.8">
      <c r="A28" s="69" t="s">
        <v>46</v>
      </c>
      <c r="B28" s="70" t="s">
        <v>47</v>
      </c>
      <c r="C28" s="71"/>
      <c r="D28" s="72"/>
      <c r="E28" s="73" t="s">
        <v>48</v>
      </c>
      <c r="F28" s="258">
        <f>IF(OR($E$10=$E$60,$E$10=$E$74,$E$10=$E$75,$E$10=$E$80,$E$11=$G$66,$E$18=$A$60,$E$11=$G$62),0.16,0.0192)</f>
        <v>1.9199999999999998E-2</v>
      </c>
      <c r="G28" s="259">
        <f>+$E$21*$F$28</f>
        <v>0</v>
      </c>
    </row>
    <row r="29" spans="1:7" s="1" customFormat="1" ht="15.75" customHeight="1" thickTop="1" thickBot="1" x14ac:dyDescent="0.8">
      <c r="A29" s="69" t="s">
        <v>49</v>
      </c>
      <c r="B29" s="70" t="s">
        <v>50</v>
      </c>
      <c r="C29" s="71"/>
      <c r="D29" s="72"/>
      <c r="E29" s="73" t="s">
        <v>48</v>
      </c>
      <c r="F29" s="258">
        <f>IF(OR($E$10=$E$60,$E$10=$E$74,$E$10=$E$75,$E$10=$E$80),0.03,IF(E11=G66,0.04,IF(OR(E18=A60,E11=G62),0.814,0.0383)))</f>
        <v>3.8300000000000001E-2</v>
      </c>
      <c r="G29" s="253">
        <f>$F$29*$E$21</f>
        <v>0</v>
      </c>
    </row>
    <row r="30" spans="1:7" s="1" customFormat="1" ht="15.75" customHeight="1" thickTop="1" thickBot="1" x14ac:dyDescent="0.8">
      <c r="A30" s="69" t="s">
        <v>51</v>
      </c>
      <c r="B30" s="70" t="s">
        <v>52</v>
      </c>
      <c r="C30" s="71"/>
      <c r="D30" s="72"/>
      <c r="E30" s="75" t="s">
        <v>53</v>
      </c>
      <c r="F30" s="258">
        <f>IF($E$10=$E$71,0,IF(OR($E$10=$E$60,$E$10=$E$74,$E$10=$E$75,$E$10=$E$80),0.15,IF(OR($E$18=$A$60,$E$11=$G$66,$E$11=$G$62),0.24,0.0319)))</f>
        <v>3.1899999999999998E-2</v>
      </c>
      <c r="G30" s="259">
        <f>IF($E$20=0,0,IF($E$10=$E$71,"NOT APPLICABLE",$E$20*$F$30))</f>
        <v>0</v>
      </c>
    </row>
    <row r="31" spans="1:7" s="1" customFormat="1" ht="15.75" customHeight="1" thickTop="1" thickBot="1" x14ac:dyDescent="0.8">
      <c r="A31" s="69" t="s">
        <v>54</v>
      </c>
      <c r="B31" s="70" t="s">
        <v>55</v>
      </c>
      <c r="C31" s="71">
        <f>IF($E$10=$E$68,"CHARGES BY P.S.E.E.Z",IF(AND($E$10=$E$69,NOT($E$11=$G$62),NOT($E$11=$G$66)),"CHARGES BY N.P.C/T.T.P.C",IF($E$10=$E$71,"CHARGES BY BARCO",IF($E$10=$E$83,"CHARGE BY FARASKOU",IF($E$10=$E$86,"CHARGES BY LNG PORT",IF($E$10=$E$85,"CHARGES BY PASIAN ",0))))))</f>
        <v>0</v>
      </c>
      <c r="D31" s="72"/>
      <c r="E31" s="73" t="str">
        <f>IF($E$10=$E$79,"SAROOJ TARIFF","G.T./TARIFF")</f>
        <v>G.T./TARIFF</v>
      </c>
      <c r="F31" s="74">
        <f>IF(OR($E$10=$E$60,$E$10=$E$74,$E$10=$E$75,$E$10=$E$80),1,IF($E$10=$E$66,0.1,IF($E$18=$A$60,0,IF(OR(AND($E$18=$A$59,OR($E$11=$G$62,$E$11=$F$32))),0.41,IF($E$10=$E$79,"0.0890X G.T.+$83",IF(AND($E$10=$E$59,OR($E$11=$G$60,$E$11=$G$61,$E$11=$G$63,$E$11=$G$67),OR($E$21=5000,$E$21&lt;5000)),0.24875,IF($E$10=$E$66,0.1,0.199)))))))</f>
        <v>0.19900000000000001</v>
      </c>
      <c r="G31" s="259">
        <f>IF($E$24=0,0,IF(OR(AND(OR($E$11=$G$62,$E$11=$G$66,$E$11=$G$68,$E$11=$G$69),$E$18=$A$60),$E$10=$E$64,$E$10=$E$65,$E$10=$E$76,$E$10=$E$82,$E$10=$E$84),"NOT APPLICABLE",IF($E$10=$E$79,SUM(0.089*$E$21,83),PRODUCT($E$21,F$31))))</f>
        <v>0</v>
      </c>
    </row>
    <row r="32" spans="1:7" s="1" customFormat="1" ht="15.75" customHeight="1" thickTop="1" thickBot="1" x14ac:dyDescent="0.8">
      <c r="A32" s="69" t="s">
        <v>56</v>
      </c>
      <c r="B32" s="70" t="s">
        <v>57</v>
      </c>
      <c r="C32" s="71" t="s">
        <v>2</v>
      </c>
      <c r="D32" s="76" t="str">
        <f>IF($E$10=$E$66,"PMO CHARGES","")</f>
        <v/>
      </c>
      <c r="E32" s="73" t="str">
        <f>IF(OR($E$10=$E$64,$E$10=$E$65,$E$10=$E$66),"NRT/TARIFF","G.T./TARIFF")</f>
        <v>G.T./TARIFF</v>
      </c>
      <c r="F32" s="74">
        <f>IF(OR($E$10=$E$60,$E$10=$E$74,$E$10=$E$75,$E$10=$E$80),0.4,IF(OR($E$10=$E$64,$E$10=$E$65,AND($E$11=$G$66,$E$18=$A$60,$E$10=$E$68),$E$10=$E$82,$E$10=$E$84),"HANDLE BY NIOC",IF(OR(AND($E$11=$G$62,$E$18=$A$60),AND(OR($E$10=$E$68,$E$10=$E$69),$E$18=$A$60)),0.345,IF(OR($E$10=$E$79,$E$10=$E$86),0.7,IF(OR($E$11=$G$66,$E$11=$G$68,$E$11=$G$69,$E$10=$E$60,$E$10=$E$62,$E$10=$E$74,$E$10=$E$75,$E$10=$E$80,$E$10=$E$66,AND($E$11=$G$62,OR(NOT($E$10=$E$68),NOT($E$10=$E$69)))),"AS PER TARIFF",IF(AND($E$10=$E$59,OR($E$11=$G$60,$E$11=$G$61,$E$11=$G$63,$E$11=$G$67),OR($E$21=5000,$E$21&lt;5000)),0.47925,0.3834))))))</f>
        <v>0.38340000000000002</v>
      </c>
      <c r="G32" s="253">
        <f>IF($E$24=0,0,IF(OR($E$10=$E$64,$E$10=$E$65,AND($E$10=$E$68,$E$18=$A$60,$E$11=$G$66),$E$10=$E$82,$E$10=$E$84),"HANDEL BY NIOC",IF(OR($E$10=$E$62,$E$10=$E$66,AND(OR($E$10=$E$59,$E$10=$E$61,$E$10=$E$63,$E$10=$E$67,$E$10=$E$72,AND($E$10=$E$68,NOT($E$18=$A$60)),$E$10=$E$69,$E$10=$E$79),OR($E$11=$G$66,$E$11=$G$68,$E$11=$G$69)),AND($E$11=$G$62,$E$18=$A$59,OR(NOT($E$10=$E$69),NOT($E$10=$E$68))),$E$10=$E$62,$E$10=$E$73,$E$10=$E$85),LOOKUP($E$21,$A$93:$B$99,$C$93:$C$99),IF($E$10=$E$76,"NOT APPLICABLE",$F$32*$E$21))))</f>
        <v>0</v>
      </c>
    </row>
    <row r="33" spans="1:8" s="1" customFormat="1" ht="15.75" customHeight="1" thickTop="1" thickBot="1" x14ac:dyDescent="0.8">
      <c r="A33" s="69" t="s">
        <v>58</v>
      </c>
      <c r="B33" s="70" t="str">
        <f>IF($E$10=$E$66,"ESTIMATED PILOTAGE (2 OPS.)","PILOTAGE ( 2 OPS.)")</f>
        <v>PILOTAGE ( 2 OPS.)</v>
      </c>
      <c r="C33" s="71"/>
      <c r="D33" s="76" t="str">
        <f>IF($E$10=$E$66,"PMO CHARGES","")</f>
        <v/>
      </c>
      <c r="E33" s="73" t="str">
        <f>IF(OR($E$10=$E$64,$E$10=$E$65,$E$10=$E$67),"NRT/TARIFF","G.T./TARIFF")</f>
        <v>G.T./TARIFF</v>
      </c>
      <c r="F33" s="254">
        <f>IF(OR($E$10=$E$64,$E$10=$E$65,AND($E$10=$E$68,$E$18=$A$60,$E$11=$G$66),$E$10=$E$82,$E$10=$E$84),"CHARGE  BY NIOC",IF(OR($E$10=$E$60,$E$10=$E$74,$E$10=$E$75,$E$10=$E$80),0.5,IF(AND(OR($E$11=$G$66,$E$11=$G$68,$E$11=$G$69,$E$10=$E$62,$E$10=$E$66,$E$10=$E$82,AND($E$11=$G$62,NOT($E$10=$E$68),NOT($E$10=$E$69))),$E$18=$A$59),0.8,IF(AND($E$18=$A$60,$E$11=$G$62),0.7656,IF(AND(OR($E$10=$E$68,$E$10=$E$69,$E$10=$E$64,$E$10=$E$65),$E$11=$G$62,$E$18=$A$59),0.3828,IF(AND($E$10=$E$59,OR($E$11=$G$60,$E$11=$G$61,$E$11=$G$63,$E$11=$G$67),OR($E$21=5000,$E$21&lt;5000)),0.2395,0.1916))))))</f>
        <v>0.19159999999999999</v>
      </c>
      <c r="G33" s="253" t="str">
        <f>IF($E$24=0,"",IF(OR($E$10=$E$64,$E$10=$E$65,AND($E$10=$E$68,$E$18=$A$60,$E$11=$G$66),$E$10=$E$82,$E$10=$E$84),"HANDLE BY NIOC",IF($E$10=$E$76,"NOT APPLICABLE",$E$21*$F$33)))</f>
        <v/>
      </c>
    </row>
    <row r="34" spans="1:8" s="1" customFormat="1" ht="15.75" customHeight="1" thickTop="1" thickBot="1" x14ac:dyDescent="0.9">
      <c r="A34" s="69" t="s">
        <v>59</v>
      </c>
      <c r="B34" s="77" t="s">
        <v>60</v>
      </c>
      <c r="C34" s="71"/>
      <c r="D34" s="76" t="str">
        <f>IF($E$10=$E$66,"PMO CHARGES","")</f>
        <v/>
      </c>
      <c r="E34" s="78" t="str">
        <f>IF(OR($E$10=$E$64,$E$10=$E$66,$E$10=$E$76,$E$10=$E$65),0,"APPROXIMATE")</f>
        <v>APPROXIMATE</v>
      </c>
      <c r="F34" s="254" t="str">
        <f>IF(OR($E$10=$E$64,$E$10=$E$76,$E$10=$E$65),0,"15% OF ITEM 7")</f>
        <v>15% OF ITEM 7</v>
      </c>
      <c r="G34" s="253" t="str">
        <f>IF($E$24=0,"",IF($F$34=0,0,IF(OR($E$10=$E$64,$E$10=$E$76,$E$10=$E$65,$F$34=0,AND($E$10=$E$68,$E$18=$A$60,$E$11=$G$66),$E$10=$E$82,$E$10=$E$76,$E$10=$E$84,$E$10=$E$65,$E$10=$E$64,$E$10=$E$66),"NOT APPLICABLE",$G$33*15%)))</f>
        <v/>
      </c>
    </row>
    <row r="35" spans="1:8" s="1" customFormat="1" ht="15.75" customHeight="1" thickTop="1" thickBot="1" x14ac:dyDescent="0.75">
      <c r="A35" s="69" t="s">
        <v>61</v>
      </c>
      <c r="B35" s="252" t="str">
        <f>IF($E$10=$E$66,"MAHSHAHR MOORING-UNMOORING",IF(E10=E71,"EST SHIP OVERTIME","EST. SHIP OVERTIME ON ACTIVE HOLDS"))</f>
        <v>EST. SHIP OVERTIME ON ACTIVE HOLDS</v>
      </c>
      <c r="C35" s="71"/>
      <c r="D35" s="72">
        <f>IF($E$10=$E$85,"PARSIAN",0)</f>
        <v>0</v>
      </c>
      <c r="E35" s="75" t="str">
        <f>IF(OR($E$10=$E$68,$E$10=$E$69,$E$10=$E$71),"PER DAY",IF(OR($E$10=$E$62,$E$10=$E$64,$E$10=$E$65,$E$10=$E$66,$E$10=$E$77,$E$10=$E$78,$E$10=$E$73),"","HOUR P/HATCH"))</f>
        <v/>
      </c>
      <c r="F35" s="74" t="str">
        <f>IF(OR($E$10=$E$62,$E$10=$E$64,$E$10=$E$65,$E$10=$E$76,$E$10=$E$70,$E$10=$E$79),0,IF($E$10=$E$71,220,IF($E$10=$E$66,"LUMPSUM","USD:125XNO. OF HOLDXDAY")))</f>
        <v>USD:125XNO. OF HOLDXDAY</v>
      </c>
      <c r="G35" s="260">
        <f>IF($E$24=0,0,IF(OR($E$10=$E$62,$E$10=$E$64,$E$10=$E$65,$E$10=$E$76,$E$10=$E$70,$E$10=$E$79,$E$10=$E$84,$E$10=$E$86,$E$10=$E$69),"NOT APPLICABLE",IF($E$10=$E$66,4000,125*$E$23*$E$12)))</f>
        <v>0</v>
      </c>
    </row>
    <row r="36" spans="1:8" s="1" customFormat="1" ht="15.75" customHeight="1" thickTop="1" thickBot="1" x14ac:dyDescent="0.8">
      <c r="A36" s="69" t="s">
        <v>62</v>
      </c>
      <c r="B36" s="70" t="s">
        <v>63</v>
      </c>
      <c r="C36" s="71">
        <f>IF($E$10=$E$68,"CHARGES BY P.S.E.E.Z",IF($E$10=$E$71,"CHARGES BY BARCO",IF(OR($E$10=$E$69,$E$10=$E$62),"CHARGES BY N.P.C/T.T.P.C",IF(AND(OR($E$10=$E$68,$E$10=$E$69),OR($E$11=$G$62,$E$11=$G$66)),"CHARGED BY NIOC",IF($E$10=$E$83,"CHARGE BY FARASKOU",IF(AND($E$10=$E$82,$E$11=$G$62,$E$18=$A$59),"CHARGES BY LAVAN OIL REFINERY",IF($E$10=$E$86,"CHARGE BY LNG PORT",IF($E$10=$E$85,"CHARGES BY PARSIAN",0))))))))</f>
        <v>0</v>
      </c>
      <c r="D36" s="72"/>
      <c r="E36" s="75">
        <f>IF(OR($E$10=$E$64,$E$10=$E$65,$E$10=$E$73),0,IF(OR($E$10=$E$60,$E$10=$E$62,$E$10=$E$66,$E$10=$E$75,$E$10=$E$77,$E$10=$E$78,AND(OR($E$11=$G$62,$E$11=$G$66,$E$11=$G$68,$E$11=$G$69),$E$18=$A$59,NOT($E$10=$E$82)),AND(OR($E$10=$E$68,$E$10=$E$69),AND(NOT($E$11=$G$62),$E$18=$A$60)),AND($E$10=$E$82,NOT($E$11=$G$62)),$E$10=$E$87),"HOURS/G.T.",IF(AND(OR($E$10=$E$68,$E$10=$E$69),$E$18=$A$60,$E$11=$G$62),"G.T/TARIFF",IF($E$10=$E$71,"G.T",IF(AND($E$10=$E$82,$E$11=$G$62,$E$18=$A$59),"GT/TARIFF",IF($E$10=$E$79,"SAROOJ TARIFF","NORM DAY/G.T."))))))</f>
        <v>0</v>
      </c>
      <c r="F36" s="255" t="str">
        <f>IF(OR($E$10=$E$64,$E$10=$E$65,$E$18=$A$60),"NOT APPLICABLE",IF($E$10=$E$71,0.45,IF(OR($E$10=$E$62,$E$10=$E$66,AND(OR($E$11=$G$66,$E$11=$G$68,$E$11=$G$69,$E$19=$D$59),NOT($E$10=$E$82)),AND($E$11=$G$62,$E$18=$A$59,OR(NOT($E$10=$E$68),NOT($E$10=$E$69)),NOT($E$10=$E$82)),AND($E$10=$E$82,NOT($E$11=$G$62)),$E$10=$E$84),0.0045,IF(OR(AND(OR($E$10=$E$68,$E$10=$E$69),OR($E$11=$G$62,$E$11=$G$66,$E$11=$G$68,$E$11=$G$69),$E$18=$A$60)),0.18,IF($E$10=$E$70,IF(E21&lt;=9000,0.12,0.1),IF($E$10=$E$79,"SAROOJ TARIFF",IF(AND($E$10=$E$82,$E$11=$G$62,$E$18=$A$59),"LAVAN  TARIFF",IF(OR($E$10=$E$60,$E$10=$E$74,$E$10=$E$75,$E$10=$E$80),0.0005,"AS PER TARIFF/NORM"))))))))</f>
        <v>AS PER TARIFF/NORM</v>
      </c>
      <c r="G36" s="253">
        <f>IF($E$24=0,0,IF(AND($E$10=$E$82,$E$11=$G$62,$E$18=$A$59),IF($E$21&lt;=3000,$E$21*1.33,SUM(3000*1.33,($E$21-3000)*1)),IF(OR($E$10=$E$64,$E$10=$E$65,$E$10=$E$76),"NOT APPLICABLE",IF(OR($E$10=$E$60,$E$10=$E$74,$E$10=$E$75,$E$10=$E$80),PRODUCT(0.0005,$E$21,$E$24),IF($E$10=$E$71,$F$36*$E$21,IF(OR($E$10=$E$62,$E$10=$E$66,$E$10=$E$77,$E$10=$E$78,AND(OR($E$11=$G$66,$E$11=$G$62,$E$11=$G$68,$E$11=$G$69)),AND($E$11=$G$62,$E$18=$A$59,OR(NOT($E$10=$E$68),NOT($E$10=$E$69))),$E$19=$D$59,$E$10=$E$82,$E$10=$E$84),$F$36*$E$24*$E$21,IF($E$10=$E$70,$F$36*$E$21*$E$23,IF($E$10=$E$79,IF($E$23&lt;=3,SUM(0.0445*$E$21,348),SUM(SUM(0.0445*$E$21*3,348),PRODUCT(SUM(PRODUCT($E$21,0.0445,$E$23-3),348),120%))),IF(OR(AND(OR($E$10=$E$68,$E$10=$E$69),OR($E$11=$G$62,$E$11=$G$66,$E$11=$G$68,$E$11=$G$69),$E$18=$A$60)),$F$36*$E$21,IF(OR($E$11=$G$60,$E$11=$G$64,$E$11=$G$65,$E$11=$G$67),IF($E$24&lt;=24,0.00067*$E$24*$E$21,SUM(0.00067*24*$E$21,PRODUCT($E$24-24,0.0028,$E$21))),IF($E$11=$G$59,IF($E$24&lt;=120,0.0002*$E$24*$E$21,SUM(0.0002*$E$21*120,($E$24-120)*0.0073*$E$21)),IF($E$24&lt;=72,0.00033*$E$21*$E$24,SUM(0.00033*$E$21*72,($E$24-72)*0.0073*$E$21)))))))))))))</f>
        <v>0</v>
      </c>
    </row>
    <row r="37" spans="1:8" s="1" customFormat="1" ht="15.75" customHeight="1" thickTop="1" thickBot="1" x14ac:dyDescent="0.8">
      <c r="A37" s="69" t="s">
        <v>24</v>
      </c>
      <c r="B37" s="79" t="s">
        <v>64</v>
      </c>
      <c r="C37" s="71">
        <f>IF($E$10=$E$68,"CHARGES BY P.S.E.E.Z",IF($E$10=$E$71,"CHARGES BY BARCO",IF(AND($E$10=$E$69,OR($E$11=$G$62,E11=$G$66)),"CHARGES BY NIOC",IF($E$10=$E$83,"CHARGE BY FARASKOU",IF($E$10=$E$86,"CHARGE BY LNG PORT",IF($E$10=$E$85,"CHARGES BY PARSIAN",0))))))</f>
        <v>0</v>
      </c>
      <c r="D37" s="72"/>
      <c r="E37" s="80" t="str">
        <f>IF($E$10=$E$79,"SAROOJ TARIFF",IF($E$10=$E$71,"PER DAY","G.T/DAY"))</f>
        <v>G.T/DAY</v>
      </c>
      <c r="F37" s="255">
        <f>IF($E$21=0,0,IF($E$10=$E$71,100,IF($E$10=$E$79,"(GTX0.0445)+$70.00","TARIFF")))</f>
        <v>0</v>
      </c>
      <c r="G37" s="253">
        <f>IF($F$37=0,0,IF($E$10=$E$86,100*$E$23,IF($E$10=$E$71,$F$37*E23,IF($E$10=$E$79,SUM(0.0445*$E$21,70),IF(OR($E$10=$E$60,$E$10=$E$74,$E$10=$E$75,$E$10=$E$80),LOOKUP($E$21,$E$151:$F$153,$G$151:$G$153)*$E$23,IF($E$18=$A$60,PRODUCT($E$23*2,LOOKUP($E$21,$A$159:$B$164,$C$159:$C$164)),PRODUCT($E$23,LOOKUP($E$21,$A$159:$B$164,$C$159:$C$164))))))))</f>
        <v>0</v>
      </c>
    </row>
    <row r="38" spans="1:8" s="1" customFormat="1" ht="15.75" customHeight="1" thickTop="1" thickBot="1" x14ac:dyDescent="0.8">
      <c r="A38" s="69" t="s">
        <v>26</v>
      </c>
      <c r="B38" s="81" t="s">
        <v>65</v>
      </c>
      <c r="C38" s="82"/>
      <c r="D38" s="83"/>
      <c r="E38" s="84" t="s">
        <v>66</v>
      </c>
      <c r="F38" s="256">
        <f>IF(OR($E$10=$E$60,$E$10=$E$74,$E$10=$E$75,$E$10=$E$80),0.003,0.03)</f>
        <v>0.03</v>
      </c>
      <c r="G38" s="261">
        <f>+$F$38*E21</f>
        <v>0</v>
      </c>
    </row>
    <row r="39" spans="1:8" s="1" customFormat="1" ht="15.75" customHeight="1" thickTop="1" thickBot="1" x14ac:dyDescent="0.8">
      <c r="A39" s="69" t="s">
        <v>29</v>
      </c>
      <c r="B39" s="81" t="s">
        <v>67</v>
      </c>
      <c r="C39" s="82"/>
      <c r="D39" s="83"/>
      <c r="E39" s="84" t="s">
        <v>68</v>
      </c>
      <c r="F39" s="256"/>
      <c r="G39" s="261">
        <f>IF($E$10=$E$79,"NOT APPLICABLE",LOOKUP($E$21,$A$167:$B$172,$C$167:$C$172)*$E$23)</f>
        <v>0</v>
      </c>
    </row>
    <row r="40" spans="1:8" s="1" customFormat="1" ht="15.75" customHeight="1" thickTop="1" thickBot="1" x14ac:dyDescent="0.8">
      <c r="A40" s="69" t="s">
        <v>31</v>
      </c>
      <c r="B40" s="81" t="s">
        <v>214</v>
      </c>
      <c r="C40" s="82"/>
      <c r="D40" s="83"/>
      <c r="E40" s="84" t="s">
        <v>215</v>
      </c>
      <c r="F40" s="256">
        <v>0.12820000000000001</v>
      </c>
      <c r="G40" s="261">
        <f>+$E$21*$F$40</f>
        <v>0</v>
      </c>
    </row>
    <row r="41" spans="1:8" s="1" customFormat="1" ht="15.75" customHeight="1" thickTop="1" thickBot="1" x14ac:dyDescent="0.8">
      <c r="A41" s="69" t="s">
        <v>33</v>
      </c>
      <c r="B41" s="85" t="str">
        <f>IF(OR($E$11=$G$68,$E$19=$D$68),"EST. TUG HIRE FOR 1 TIME TANK INSPECTION AT ANCHORAGE",IF($E$10=$E$66,"MOTOR BOAT HIRE AT MAHSHAHR ",IF($E$10=$E$76,"KISH FREE ZONE SIDE WHARGAGE ",IF($E$10=$E$79,"COST PRIVATE PORT SECURITY",IF(OR($E$10=$E$82,$E$10=$E$84),"ESTIMATED MOORING GANG",IF($E$10=$E$83," OIL STAIN REMOVAL","OTHERS"))))))</f>
        <v>OTHERS</v>
      </c>
      <c r="C41" s="86"/>
      <c r="D41" s="87"/>
      <c r="E41" s="88">
        <f>IF($E$10=$E$76,"(10+DAYS)/GRT",IF($E$10=$E$79,"SAROOJ TARIFF",IF($E$10=$E$86,"G.T/ TARIFF",0)))</f>
        <v>0</v>
      </c>
      <c r="F41" s="74">
        <f>IF($E$10=$E$66,"CHARGE BY NIOC",IF($E$10=$E$76,IF($E$23&lt;=7,0.12,IF(AND($E$23&gt;7,$E$23&lt;=14),0.13,IF(AND($E$23&gt;15,$E$23&lt;=30),0.15,0.2))),IF($E$10=$E$79,"SAROOJ TARIFF",0)))</f>
        <v>0</v>
      </c>
      <c r="G41" s="262">
        <f>IF(OR($E$10=$E$82,$E$10=$E$84),1450,IF($E$10=$E$66,2000,IF($E$10=$E$79,IF($E$23&lt;=3,SUM(0.0445*$E$21,55),SUM(SUM(0.0445*$E$21*3,55),PRODUCT(($E$23-3)*0.0445*$E$21+55,120%))),IF(OR($E$11=$G$68,$E$19=$D$68),1000,IF($E$10=$E$76,PRODUCT(SUM(10,$E$23),$F$41,ROUND($E$21,-2)),IF($E$10=$E$83,500,0))))))</f>
        <v>0</v>
      </c>
    </row>
    <row r="42" spans="1:8" s="68" customFormat="1" ht="17" thickTop="1" thickBot="1" x14ac:dyDescent="0.85">
      <c r="A42" s="89"/>
      <c r="B42" s="90" t="s">
        <v>69</v>
      </c>
      <c r="C42" s="91"/>
      <c r="D42" s="91"/>
      <c r="E42" s="91"/>
      <c r="F42" s="92"/>
      <c r="G42" s="257">
        <f>SUM(G28:G41)</f>
        <v>0</v>
      </c>
    </row>
    <row r="43" spans="1:8" s="68" customFormat="1" ht="17" thickTop="1" thickBot="1" x14ac:dyDescent="0.85">
      <c r="A43" s="93"/>
      <c r="B43" s="68" t="s">
        <v>70</v>
      </c>
      <c r="C43" s="94" t="str">
        <f>IF(AND($E$14=$B$59,NOT($E$19=$D$59),$E$21&gt;=1500,OR($E$10=$E$60,$E$10=$E$62,$E$10=$E$65,$E$10=$E$63,$E$10=$E$73,$E$10=$E$75,$E$10=$E$77,$E$10=$E$78,$E$10=$E$74,$E$10=$E$79,$E$10=$E$80,$E$10=$E$82,$E$10=$E$83,$E$10=$E$84,$E$10=$E$85,$E$10=$E$86,$E$10=$E$66)),"25%, SUBJECT TO THE VESSEL ARRIVES EMPTY ","NOT APPLICABLE")</f>
        <v>NOT APPLICABLE</v>
      </c>
      <c r="F43" s="95" t="s">
        <v>2</v>
      </c>
      <c r="G43" s="96"/>
      <c r="H43" s="97"/>
    </row>
    <row r="44" spans="1:8" s="68" customFormat="1" ht="17" thickTop="1" thickBot="1" x14ac:dyDescent="0.85">
      <c r="A44" s="98" t="s">
        <v>39</v>
      </c>
      <c r="B44" s="99" t="s">
        <v>71</v>
      </c>
      <c r="C44" s="100"/>
      <c r="D44" s="100"/>
      <c r="E44" s="100"/>
      <c r="F44" s="101"/>
      <c r="G44" s="102">
        <f>+G42-G43</f>
        <v>0</v>
      </c>
      <c r="H44" s="97"/>
    </row>
    <row r="45" spans="1:8" s="68" customFormat="1" ht="17" thickTop="1" thickBot="1" x14ac:dyDescent="0.85">
      <c r="A45" s="98" t="s">
        <v>72</v>
      </c>
      <c r="B45" s="99" t="s">
        <v>216</v>
      </c>
      <c r="C45" s="100"/>
      <c r="D45" s="100"/>
      <c r="E45" s="100"/>
      <c r="F45" s="101"/>
      <c r="G45" s="102">
        <f>+$G$44*10%</f>
        <v>0</v>
      </c>
      <c r="H45" s="97"/>
    </row>
    <row r="46" spans="1:8" s="68" customFormat="1" ht="17" thickTop="1" thickBot="1" x14ac:dyDescent="0.85">
      <c r="A46" s="103" t="s">
        <v>73</v>
      </c>
      <c r="B46" s="104" t="s">
        <v>218</v>
      </c>
      <c r="C46" s="105"/>
      <c r="D46" s="105"/>
      <c r="E46" s="106" t="s">
        <v>74</v>
      </c>
      <c r="F46" s="107"/>
      <c r="G46" s="108">
        <f>IF($E$21=0,0,IF($E$10=$E$76,IF($E$21&lt;=500,"NOT APPLICABLE",82),IF(OR($E$11=$G$65,$E$11=$G$67,$E$11=$G$68),LOOKUP($E$21,$E$103:$F$114,$G$103:$G$114),LOOKUP($E$21,$B$103:$C$112,$D$103:$D$112))))*110%</f>
        <v>0</v>
      </c>
      <c r="H46" s="97"/>
    </row>
    <row r="47" spans="1:8" s="110" customFormat="1" ht="18.75" customHeight="1" thickTop="1" thickBot="1" x14ac:dyDescent="0.85">
      <c r="A47" s="103" t="s">
        <v>75</v>
      </c>
      <c r="B47" s="104" t="s">
        <v>76</v>
      </c>
      <c r="C47" s="105"/>
      <c r="D47" s="105"/>
      <c r="E47" s="109" t="str">
        <f>IF(OR($E$10=$E$68,$E$10=$E$69,$E$10=$E$83,$E$10=$E$62,$E$10=$E$63,$E$10=$E$76,$E$10=$E$80,$E$12=$E$88),"",IF(OR($E$10=$E$65,$E$10=$E$66)," APROAX USD:187.50 PER DAY",IF($E$10=$E$70,"APPROAX USD:90.00 PER DAY",IF($E$10=$E$82,"APPROAX USD: 300.00 PER DAY",IF(E10=E71,"APPROX USD:20.00/DAY","APPROAX USD:50.00 PER DAY")))))</f>
        <v/>
      </c>
      <c r="F47" s="107"/>
      <c r="G47" s="108">
        <f>IF(OR($E$10=$E$68,$E$10=$E$69,$E$10=$E$83),185,IF($E$21=0,0,IF(OR($E$10=$E$63,$E$10=$E$64),$E$23*187.5,IF(OR($E$10=$E$74,$E$10=$E$77,$E$10=$E$80,$E$10=$E$78,$E$10=$E$75),"NOT APPLICABLE",IF($E$10=$E$82,300*$E$23,IF($E$10=$E$70,$E$23*90,IF(E10=E71,20*E23,$E$23*50)))))))</f>
        <v>0</v>
      </c>
    </row>
    <row r="48" spans="1:8" s="110" customFormat="1" ht="18.75" customHeight="1" thickTop="1" thickBot="1" x14ac:dyDescent="0.85">
      <c r="A48" s="103" t="s">
        <v>77</v>
      </c>
      <c r="B48" s="111" t="str">
        <f>IF($E$10=$E$66,"EST. TUG CHRGES BY NIOC","N.I.O.C. CHARGES TOWARD TUG AND PILOTAGE")</f>
        <v>N.I.O.C. CHARGES TOWARD TUG AND PILOTAGE</v>
      </c>
      <c r="C48" s="105"/>
      <c r="D48" s="105"/>
      <c r="E48" s="109" t="str">
        <f>IF(NOT(OR($E$10=$E$63,$E$10=$E$64,$E$10=$E$65,$E$10=$E$82)),"","AS PER TARIFF/NRT BASIS")</f>
        <v/>
      </c>
      <c r="F48" s="107"/>
      <c r="G48" s="108">
        <f>IF($E$10=$E$66,11374,IF($E$21=0,0,IF(OR($E$10=$E$64,AND($E$11=$G$66,$E$18=$A$60),$E$10=$E$65,$E$10=$E$82),IF($E$22&lt;=20000,SUM($F$121,$F$123),SUM($F$121,$F$123,SUM(ROUND($E$22,-3),-20000)/100*$F$125)),IF(OR($E$10=$E$65),IF($E$22&lt;=20000,SUM($G$121,$G$123),SUM($G$121,$G$123,SUM(ROUND($E$22,-3)-20000)/100*$G$125)),"NOT APPLICABLE"))))</f>
        <v>0</v>
      </c>
    </row>
    <row r="49" spans="1:7" s="110" customFormat="1" ht="17.25" customHeight="1" thickTop="1" thickBot="1" x14ac:dyDescent="0.85">
      <c r="A49" s="103" t="s">
        <v>78</v>
      </c>
      <c r="B49" s="104" t="s">
        <v>217</v>
      </c>
      <c r="C49" s="105"/>
      <c r="D49" s="105"/>
      <c r="E49" s="109" t="str">
        <f>IF(NOT(OR($E$10=$E$63,$E$10=$E$64,$E$10=$E$65)),"","AS PER TARIFF/NRT BASIS")</f>
        <v/>
      </c>
      <c r="F49" s="107"/>
      <c r="G49" s="108">
        <f>IF($G$48="NOT APPLICABLE","NOT APPLICABLE",$G$48*10%)</f>
        <v>0</v>
      </c>
    </row>
    <row r="50" spans="1:7" s="114" customFormat="1" ht="17.25" customHeight="1" thickTop="1" thickBot="1" x14ac:dyDescent="0.85">
      <c r="A50" s="112"/>
      <c r="B50" s="113" t="s">
        <v>79</v>
      </c>
      <c r="G50" s="108">
        <f>SUM(G44:G49)</f>
        <v>0</v>
      </c>
    </row>
    <row r="51" spans="1:7" s="117" customFormat="1" ht="15.75" customHeight="1" thickTop="1" x14ac:dyDescent="0.7">
      <c r="A51" s="115"/>
      <c r="B51" s="116"/>
      <c r="G51" s="118"/>
    </row>
    <row r="52" spans="1:7" s="117" customFormat="1" ht="15.75" customHeight="1" x14ac:dyDescent="0.7">
      <c r="B52" s="116"/>
      <c r="G52" s="118"/>
    </row>
    <row r="53" spans="1:7" s="117" customFormat="1" ht="15.75" customHeight="1" x14ac:dyDescent="0.7">
      <c r="B53" s="116"/>
      <c r="G53" s="118"/>
    </row>
    <row r="54" spans="1:7" s="114" customFormat="1" ht="12.75" customHeight="1" x14ac:dyDescent="0.6">
      <c r="B54" s="119"/>
      <c r="G54" s="120"/>
    </row>
    <row r="55" spans="1:7" s="1" customFormat="1" ht="12.75" hidden="1" customHeight="1" x14ac:dyDescent="0.6">
      <c r="B55" s="68" t="s">
        <v>80</v>
      </c>
      <c r="G55" s="2"/>
    </row>
    <row r="56" spans="1:7" s="1" customFormat="1" ht="13.5" hidden="1" customHeight="1" thickBot="1" x14ac:dyDescent="0.75">
      <c r="A56" s="1" t="s">
        <v>2</v>
      </c>
      <c r="G56" s="2"/>
    </row>
    <row r="57" spans="1:7" s="125" customFormat="1" ht="13.5" hidden="1" customHeight="1" thickTop="1" x14ac:dyDescent="0.6">
      <c r="A57" s="121"/>
      <c r="B57" s="121"/>
      <c r="C57" s="122" t="s">
        <v>81</v>
      </c>
      <c r="D57" s="123"/>
      <c r="E57" s="273" t="s">
        <v>2</v>
      </c>
      <c r="F57" s="274"/>
      <c r="G57" s="124" t="s">
        <v>82</v>
      </c>
    </row>
    <row r="58" spans="1:7" s="125" customFormat="1" ht="13.5" hidden="1" customHeight="1" thickBot="1" x14ac:dyDescent="0.75">
      <c r="A58" s="126" t="s">
        <v>83</v>
      </c>
      <c r="B58" s="126" t="s">
        <v>84</v>
      </c>
      <c r="C58" s="127" t="s">
        <v>85</v>
      </c>
      <c r="D58" s="128" t="s">
        <v>86</v>
      </c>
      <c r="E58" s="263" t="s">
        <v>7</v>
      </c>
      <c r="F58" s="264"/>
      <c r="G58" s="129" t="s">
        <v>87</v>
      </c>
    </row>
    <row r="59" spans="1:7" s="1" customFormat="1" ht="12.75" hidden="1" customHeight="1" x14ac:dyDescent="0.6">
      <c r="A59" s="130" t="s">
        <v>88</v>
      </c>
      <c r="B59" s="130" t="s">
        <v>89</v>
      </c>
      <c r="C59" s="131" t="s">
        <v>90</v>
      </c>
      <c r="D59" s="132" t="s">
        <v>91</v>
      </c>
      <c r="E59" s="277" t="s">
        <v>92</v>
      </c>
      <c r="F59" s="278"/>
      <c r="G59" s="133" t="s">
        <v>93</v>
      </c>
    </row>
    <row r="60" spans="1:7" s="1" customFormat="1" ht="12.75" hidden="1" customHeight="1" x14ac:dyDescent="0.6">
      <c r="A60" s="134" t="s">
        <v>94</v>
      </c>
      <c r="B60" s="134" t="s">
        <v>95</v>
      </c>
      <c r="C60" s="135" t="s">
        <v>96</v>
      </c>
      <c r="D60" s="136" t="s">
        <v>97</v>
      </c>
      <c r="E60" s="275" t="s">
        <v>98</v>
      </c>
      <c r="F60" s="276"/>
      <c r="G60" s="133" t="s">
        <v>99</v>
      </c>
    </row>
    <row r="61" spans="1:7" s="1" customFormat="1" ht="12.75" hidden="1" customHeight="1" x14ac:dyDescent="0.6">
      <c r="A61" s="134"/>
      <c r="B61" s="134" t="s">
        <v>100</v>
      </c>
      <c r="C61" s="135" t="s">
        <v>101</v>
      </c>
      <c r="D61" s="136" t="s">
        <v>102</v>
      </c>
      <c r="E61" s="275" t="s">
        <v>103</v>
      </c>
      <c r="F61" s="276"/>
      <c r="G61" s="133" t="s">
        <v>104</v>
      </c>
    </row>
    <row r="62" spans="1:7" s="1" customFormat="1" ht="12.75" hidden="1" customHeight="1" x14ac:dyDescent="0.6">
      <c r="A62" s="134"/>
      <c r="B62" s="134" t="s">
        <v>2</v>
      </c>
      <c r="C62" s="135" t="s">
        <v>105</v>
      </c>
      <c r="D62" s="136" t="s">
        <v>106</v>
      </c>
      <c r="E62" s="275" t="s">
        <v>219</v>
      </c>
      <c r="F62" s="276"/>
      <c r="G62" s="133" t="s">
        <v>107</v>
      </c>
    </row>
    <row r="63" spans="1:7" s="1" customFormat="1" ht="12.75" hidden="1" customHeight="1" x14ac:dyDescent="0.6">
      <c r="A63" s="138"/>
      <c r="B63" s="139"/>
      <c r="C63" s="140">
        <v>0</v>
      </c>
      <c r="D63" s="141" t="s">
        <v>108</v>
      </c>
      <c r="E63" s="275" t="s">
        <v>109</v>
      </c>
      <c r="F63" s="276"/>
      <c r="G63" s="133" t="s">
        <v>110</v>
      </c>
    </row>
    <row r="64" spans="1:7" s="1" customFormat="1" ht="12.75" hidden="1" customHeight="1" x14ac:dyDescent="0.6">
      <c r="A64" s="138"/>
      <c r="B64" s="139"/>
      <c r="C64" s="140"/>
      <c r="D64" s="141" t="s">
        <v>111</v>
      </c>
      <c r="E64" s="275" t="s">
        <v>112</v>
      </c>
      <c r="F64" s="276"/>
      <c r="G64" s="133" t="s">
        <v>113</v>
      </c>
    </row>
    <row r="65" spans="1:7" s="1" customFormat="1" ht="12.75" hidden="1" customHeight="1" x14ac:dyDescent="0.6">
      <c r="A65" s="138"/>
      <c r="B65" s="139"/>
      <c r="C65" s="140"/>
      <c r="D65" s="141" t="s">
        <v>114</v>
      </c>
      <c r="E65" s="275" t="s">
        <v>115</v>
      </c>
      <c r="F65" s="276"/>
      <c r="G65" s="133" t="s">
        <v>116</v>
      </c>
    </row>
    <row r="66" spans="1:7" s="1" customFormat="1" ht="12.75" hidden="1" customHeight="1" x14ac:dyDescent="0.6">
      <c r="A66" s="138"/>
      <c r="B66" s="139"/>
      <c r="C66" s="140"/>
      <c r="D66" s="141" t="s">
        <v>117</v>
      </c>
      <c r="E66" s="275" t="s">
        <v>118</v>
      </c>
      <c r="F66" s="276"/>
      <c r="G66" s="133" t="s">
        <v>119</v>
      </c>
    </row>
    <row r="67" spans="1:7" s="1" customFormat="1" ht="12.75" hidden="1" customHeight="1" x14ac:dyDescent="0.6">
      <c r="A67" s="138"/>
      <c r="B67" s="139"/>
      <c r="C67" s="140"/>
      <c r="D67" s="141" t="s">
        <v>120</v>
      </c>
      <c r="E67" s="275" t="s">
        <v>121</v>
      </c>
      <c r="F67" s="276"/>
      <c r="G67" s="133" t="s">
        <v>122</v>
      </c>
    </row>
    <row r="68" spans="1:7" s="1" customFormat="1" ht="12.75" hidden="1" customHeight="1" x14ac:dyDescent="0.6">
      <c r="A68" s="138"/>
      <c r="B68" s="139"/>
      <c r="C68" s="140"/>
      <c r="D68" s="142" t="s">
        <v>123</v>
      </c>
      <c r="E68" s="143" t="s">
        <v>124</v>
      </c>
      <c r="F68" s="137"/>
      <c r="G68" s="133" t="s">
        <v>125</v>
      </c>
    </row>
    <row r="69" spans="1:7" s="1" customFormat="1" ht="12.75" hidden="1" customHeight="1" x14ac:dyDescent="0.6">
      <c r="A69" s="138"/>
      <c r="B69" s="139"/>
      <c r="C69" s="140"/>
      <c r="D69" s="141" t="s">
        <v>126</v>
      </c>
      <c r="E69" s="143" t="s">
        <v>127</v>
      </c>
      <c r="F69" s="137"/>
      <c r="G69" s="144" t="s">
        <v>128</v>
      </c>
    </row>
    <row r="70" spans="1:7" s="1" customFormat="1" ht="12.75" hidden="1" customHeight="1" x14ac:dyDescent="0.6">
      <c r="A70" s="138"/>
      <c r="B70" s="139"/>
      <c r="C70" s="140"/>
      <c r="D70" s="141" t="s">
        <v>104</v>
      </c>
      <c r="E70" s="143" t="s">
        <v>129</v>
      </c>
      <c r="F70" s="137"/>
      <c r="G70" s="144" t="s">
        <v>130</v>
      </c>
    </row>
    <row r="71" spans="1:7" s="1" customFormat="1" ht="12.75" hidden="1" customHeight="1" x14ac:dyDescent="0.6">
      <c r="A71" s="138"/>
      <c r="B71" s="139"/>
      <c r="C71" s="140"/>
      <c r="D71" s="141" t="s">
        <v>131</v>
      </c>
      <c r="E71" s="143" t="s">
        <v>132</v>
      </c>
      <c r="F71" s="137"/>
      <c r="G71" s="144"/>
    </row>
    <row r="72" spans="1:7" s="1" customFormat="1" ht="12.75" hidden="1" customHeight="1" x14ac:dyDescent="0.6">
      <c r="A72" s="138"/>
      <c r="B72" s="139"/>
      <c r="C72" s="140"/>
      <c r="D72" s="141" t="s">
        <v>133</v>
      </c>
      <c r="E72" s="143" t="s">
        <v>134</v>
      </c>
      <c r="F72" s="137"/>
      <c r="G72" s="144"/>
    </row>
    <row r="73" spans="1:7" s="1" customFormat="1" ht="12.75" hidden="1" customHeight="1" x14ac:dyDescent="0.6">
      <c r="A73" s="138"/>
      <c r="B73" s="139"/>
      <c r="C73" s="140"/>
      <c r="D73" s="142" t="s">
        <v>135</v>
      </c>
      <c r="E73" s="145"/>
      <c r="F73" s="146"/>
      <c r="G73" s="144"/>
    </row>
    <row r="74" spans="1:7" s="1" customFormat="1" ht="12.75" hidden="1" customHeight="1" x14ac:dyDescent="0.6">
      <c r="A74" s="138"/>
      <c r="B74" s="139"/>
      <c r="C74" s="140"/>
      <c r="D74" s="142" t="s">
        <v>136</v>
      </c>
      <c r="E74" s="145" t="s">
        <v>137</v>
      </c>
      <c r="F74" s="146"/>
      <c r="G74" s="144"/>
    </row>
    <row r="75" spans="1:7" s="1" customFormat="1" ht="12.75" hidden="1" customHeight="1" x14ac:dyDescent="0.6">
      <c r="A75" s="138"/>
      <c r="B75" s="139"/>
      <c r="C75" s="140"/>
      <c r="D75" s="141" t="s">
        <v>138</v>
      </c>
      <c r="E75" s="145" t="s">
        <v>139</v>
      </c>
      <c r="F75" s="146"/>
      <c r="G75" s="144"/>
    </row>
    <row r="76" spans="1:7" s="1" customFormat="1" ht="12.75" hidden="1" customHeight="1" x14ac:dyDescent="0.6">
      <c r="A76" s="138"/>
      <c r="B76" s="139"/>
      <c r="C76" s="140"/>
      <c r="D76" s="142"/>
      <c r="E76" s="145" t="s">
        <v>140</v>
      </c>
      <c r="F76" s="146"/>
      <c r="G76" s="144"/>
    </row>
    <row r="77" spans="1:7" s="1" customFormat="1" ht="12.75" hidden="1" customHeight="1" x14ac:dyDescent="0.6">
      <c r="A77" s="138"/>
      <c r="B77" s="139"/>
      <c r="C77" s="140"/>
      <c r="D77" s="142"/>
      <c r="E77" s="145"/>
      <c r="F77" s="146"/>
      <c r="G77" s="144"/>
    </row>
    <row r="78" spans="1:7" s="1" customFormat="1" ht="12.75" hidden="1" customHeight="1" x14ac:dyDescent="0.6">
      <c r="A78" s="138"/>
      <c r="B78" s="139"/>
      <c r="C78" s="140"/>
      <c r="D78" s="142"/>
      <c r="E78" s="145"/>
      <c r="F78" s="146"/>
      <c r="G78" s="144"/>
    </row>
    <row r="79" spans="1:7" s="1" customFormat="1" ht="12.75" hidden="1" customHeight="1" x14ac:dyDescent="0.6">
      <c r="A79" s="138"/>
      <c r="B79" s="139"/>
      <c r="C79" s="140"/>
      <c r="D79" s="142"/>
      <c r="E79" s="145" t="s">
        <v>141</v>
      </c>
      <c r="F79" s="146"/>
      <c r="G79" s="144"/>
    </row>
    <row r="80" spans="1:7" s="1" customFormat="1" ht="12.75" hidden="1" customHeight="1" x14ac:dyDescent="0.6">
      <c r="A80" s="138"/>
      <c r="B80" s="139"/>
      <c r="C80" s="140"/>
      <c r="D80" s="142"/>
      <c r="E80" s="145" t="s">
        <v>142</v>
      </c>
      <c r="F80" s="146"/>
      <c r="G80" s="144"/>
    </row>
    <row r="81" spans="1:7" s="1" customFormat="1" ht="12.75" hidden="1" customHeight="1" x14ac:dyDescent="0.6">
      <c r="A81" s="138"/>
      <c r="B81" s="139"/>
      <c r="C81" s="140"/>
      <c r="D81" s="142"/>
      <c r="E81" s="145" t="s">
        <v>143</v>
      </c>
      <c r="F81" s="146"/>
      <c r="G81" s="144"/>
    </row>
    <row r="82" spans="1:7" s="1" customFormat="1" ht="12.75" hidden="1" customHeight="1" x14ac:dyDescent="0.6">
      <c r="A82" s="138"/>
      <c r="B82" s="139"/>
      <c r="C82" s="140"/>
      <c r="D82" s="142"/>
      <c r="E82" s="145" t="s">
        <v>144</v>
      </c>
      <c r="F82" s="146"/>
      <c r="G82" s="144"/>
    </row>
    <row r="83" spans="1:7" s="1" customFormat="1" ht="12.65" hidden="1" customHeight="1" x14ac:dyDescent="0.6">
      <c r="A83" s="138"/>
      <c r="B83" s="139"/>
      <c r="C83" s="140"/>
      <c r="D83" s="142"/>
      <c r="E83" s="145" t="s">
        <v>145</v>
      </c>
      <c r="F83" s="146"/>
      <c r="G83" s="144"/>
    </row>
    <row r="84" spans="1:7" s="1" customFormat="1" ht="13.75" hidden="1" thickBot="1" x14ac:dyDescent="0.75">
      <c r="A84" s="138"/>
      <c r="B84" s="147"/>
      <c r="C84" s="148"/>
      <c r="D84" s="142"/>
      <c r="E84" s="149" t="s">
        <v>146</v>
      </c>
      <c r="F84" s="146"/>
      <c r="G84" s="144"/>
    </row>
    <row r="85" spans="1:7" s="1" customFormat="1" ht="12.65" hidden="1" customHeight="1" thickTop="1" x14ac:dyDescent="0.6">
      <c r="A85" s="138"/>
      <c r="B85" s="147"/>
      <c r="C85" s="148"/>
      <c r="D85" s="142"/>
      <c r="E85" s="145" t="s">
        <v>147</v>
      </c>
      <c r="F85" s="146"/>
      <c r="G85" s="144"/>
    </row>
    <row r="86" spans="1:7" s="1" customFormat="1" ht="12.65" hidden="1" customHeight="1" x14ac:dyDescent="0.6">
      <c r="A86" s="138"/>
      <c r="B86" s="147"/>
      <c r="C86" s="148"/>
      <c r="D86" s="142"/>
      <c r="E86" s="145" t="s">
        <v>148</v>
      </c>
      <c r="F86" s="146"/>
      <c r="G86" s="144"/>
    </row>
    <row r="87" spans="1:7" s="1" customFormat="1" ht="13.5" hidden="1" customHeight="1" thickBot="1" x14ac:dyDescent="0.75">
      <c r="A87" s="150"/>
      <c r="B87" s="149"/>
      <c r="C87" s="151"/>
      <c r="D87" s="152" t="s">
        <v>2</v>
      </c>
      <c r="E87" s="149"/>
      <c r="F87" s="151"/>
      <c r="G87" s="153"/>
    </row>
    <row r="88" spans="1:7" s="1" customFormat="1" ht="13.5" hidden="1" customHeight="1" thickTop="1" x14ac:dyDescent="0.6">
      <c r="E88" s="112"/>
      <c r="F88" s="112"/>
      <c r="G88" s="2"/>
    </row>
    <row r="89" spans="1:7" s="1" customFormat="1" ht="13.5" hidden="1" customHeight="1" x14ac:dyDescent="0.65">
      <c r="E89" s="154" t="s">
        <v>149</v>
      </c>
      <c r="F89" s="155"/>
      <c r="G89" s="156"/>
    </row>
    <row r="90" spans="1:7" s="155" customFormat="1" ht="15.75" hidden="1" customHeight="1" thickBot="1" x14ac:dyDescent="0.8">
      <c r="A90" s="154" t="s">
        <v>150</v>
      </c>
      <c r="E90" s="157" t="s">
        <v>151</v>
      </c>
      <c r="F90" s="1"/>
      <c r="G90" s="156"/>
    </row>
    <row r="91" spans="1:7" s="1" customFormat="1" ht="14.25" hidden="1" customHeight="1" thickTop="1" thickBot="1" x14ac:dyDescent="0.75">
      <c r="A91" s="158" t="s">
        <v>152</v>
      </c>
      <c r="B91" s="158" t="s">
        <v>153</v>
      </c>
      <c r="C91" s="159" t="s">
        <v>154</v>
      </c>
      <c r="D91" s="159" t="s">
        <v>155</v>
      </c>
      <c r="E91" s="158" t="s">
        <v>152</v>
      </c>
      <c r="F91" s="158" t="s">
        <v>153</v>
      </c>
      <c r="G91" s="160" t="s">
        <v>156</v>
      </c>
    </row>
    <row r="92" spans="1:7" s="1" customFormat="1" ht="14.25" hidden="1" customHeight="1" thickTop="1" thickBot="1" x14ac:dyDescent="0.75">
      <c r="A92" s="161">
        <v>0</v>
      </c>
      <c r="B92" s="161">
        <v>0</v>
      </c>
      <c r="C92" s="162">
        <v>0</v>
      </c>
      <c r="D92" s="162">
        <v>0</v>
      </c>
      <c r="E92" s="161">
        <v>0</v>
      </c>
      <c r="F92" s="161">
        <v>0</v>
      </c>
      <c r="G92" s="163">
        <v>0</v>
      </c>
    </row>
    <row r="93" spans="1:7" s="1" customFormat="1" ht="16.5" hidden="1" customHeight="1" thickTop="1" thickBot="1" x14ac:dyDescent="0.8">
      <c r="A93" s="164">
        <v>1</v>
      </c>
      <c r="B93" s="164">
        <v>1500</v>
      </c>
      <c r="C93" s="165">
        <v>300</v>
      </c>
      <c r="D93" s="165">
        <v>50</v>
      </c>
      <c r="E93" s="164">
        <v>1</v>
      </c>
      <c r="F93" s="164">
        <v>800</v>
      </c>
      <c r="G93" s="166">
        <v>20</v>
      </c>
    </row>
    <row r="94" spans="1:7" s="1" customFormat="1" ht="16.5" hidden="1" customHeight="1" thickTop="1" thickBot="1" x14ac:dyDescent="0.8">
      <c r="A94" s="164">
        <v>1501</v>
      </c>
      <c r="B94" s="164">
        <v>5000</v>
      </c>
      <c r="C94" s="165">
        <v>800</v>
      </c>
      <c r="D94" s="165">
        <v>100</v>
      </c>
      <c r="E94" s="164">
        <v>801</v>
      </c>
      <c r="F94" s="164">
        <v>5000</v>
      </c>
      <c r="G94" s="166">
        <v>125</v>
      </c>
    </row>
    <row r="95" spans="1:7" s="1" customFormat="1" ht="16.5" hidden="1" customHeight="1" thickTop="1" thickBot="1" x14ac:dyDescent="0.8">
      <c r="A95" s="164">
        <v>5001</v>
      </c>
      <c r="B95" s="164">
        <v>10000</v>
      </c>
      <c r="C95" s="165">
        <v>1500</v>
      </c>
      <c r="D95" s="165">
        <v>150</v>
      </c>
      <c r="E95" s="164">
        <v>5001</v>
      </c>
      <c r="F95" s="164">
        <v>1000000</v>
      </c>
      <c r="G95" s="166">
        <v>700</v>
      </c>
    </row>
    <row r="96" spans="1:7" s="1" customFormat="1" ht="16.5" hidden="1" customHeight="1" thickTop="1" thickBot="1" x14ac:dyDescent="0.8">
      <c r="A96" s="164">
        <v>10001</v>
      </c>
      <c r="B96" s="164">
        <v>15000</v>
      </c>
      <c r="C96" s="165">
        <v>2200</v>
      </c>
      <c r="D96" s="165">
        <v>200</v>
      </c>
      <c r="E96" s="167" t="s">
        <v>157</v>
      </c>
      <c r="G96" s="2"/>
    </row>
    <row r="97" spans="1:7" s="1" customFormat="1" ht="16.5" hidden="1" customHeight="1" thickTop="1" thickBot="1" x14ac:dyDescent="0.8">
      <c r="A97" s="164">
        <v>15001</v>
      </c>
      <c r="B97" s="164">
        <v>20000</v>
      </c>
      <c r="C97" s="165">
        <v>2900</v>
      </c>
      <c r="D97" s="165">
        <v>250</v>
      </c>
      <c r="E97" s="167" t="s">
        <v>158</v>
      </c>
      <c r="G97" s="2"/>
    </row>
    <row r="98" spans="1:7" s="1" customFormat="1" ht="16.5" hidden="1" customHeight="1" thickTop="1" thickBot="1" x14ac:dyDescent="0.8">
      <c r="A98" s="164">
        <v>20001</v>
      </c>
      <c r="B98" s="164">
        <v>25000</v>
      </c>
      <c r="C98" s="165">
        <v>3600</v>
      </c>
      <c r="D98" s="165">
        <v>300</v>
      </c>
      <c r="E98" s="167" t="s">
        <v>159</v>
      </c>
      <c r="G98" s="2"/>
    </row>
    <row r="99" spans="1:7" s="1" customFormat="1" ht="16.5" hidden="1" customHeight="1" thickTop="1" thickBot="1" x14ac:dyDescent="0.8">
      <c r="A99" s="164">
        <v>25000</v>
      </c>
      <c r="B99" s="164">
        <v>1000000</v>
      </c>
      <c r="C99" s="165">
        <v>4500</v>
      </c>
      <c r="D99" s="165">
        <v>400</v>
      </c>
      <c r="F99" s="156"/>
      <c r="G99" s="2"/>
    </row>
    <row r="100" spans="1:7" s="1" customFormat="1" ht="13.5" hidden="1" customHeight="1" thickTop="1" x14ac:dyDescent="0.6">
      <c r="A100" s="168"/>
      <c r="F100" s="156"/>
      <c r="G100" s="2"/>
    </row>
    <row r="101" spans="1:7" s="1" customFormat="1" ht="15" hidden="1" customHeight="1" x14ac:dyDescent="0.65">
      <c r="A101" s="168"/>
      <c r="C101" s="154" t="s">
        <v>160</v>
      </c>
      <c r="F101" s="156"/>
      <c r="G101" s="2"/>
    </row>
    <row r="102" spans="1:7" s="169" customFormat="1" ht="17.25" hidden="1" customHeight="1" thickBot="1" x14ac:dyDescent="0.85">
      <c r="C102" s="154" t="s">
        <v>161</v>
      </c>
      <c r="D102" s="154"/>
      <c r="F102" s="169" t="s">
        <v>162</v>
      </c>
      <c r="G102" s="170"/>
    </row>
    <row r="103" spans="1:7" s="155" customFormat="1" ht="16.5" hidden="1" customHeight="1" thickTop="1" thickBot="1" x14ac:dyDescent="0.8">
      <c r="B103" s="158" t="s">
        <v>163</v>
      </c>
      <c r="C103" s="171" t="s">
        <v>164</v>
      </c>
      <c r="D103" s="172" t="s">
        <v>44</v>
      </c>
      <c r="E103" s="158" t="s">
        <v>163</v>
      </c>
      <c r="F103" s="171" t="s">
        <v>164</v>
      </c>
      <c r="G103" s="172" t="s">
        <v>44</v>
      </c>
    </row>
    <row r="104" spans="1:7" s="155" customFormat="1" ht="15.75" hidden="1" customHeight="1" thickTop="1" thickBot="1" x14ac:dyDescent="0.8">
      <c r="B104" s="173">
        <v>1</v>
      </c>
      <c r="C104" s="173">
        <v>500</v>
      </c>
      <c r="D104" s="174">
        <v>0</v>
      </c>
      <c r="E104" s="173">
        <v>1</v>
      </c>
      <c r="F104" s="173">
        <v>5000</v>
      </c>
      <c r="G104" s="174">
        <v>26.4</v>
      </c>
    </row>
    <row r="105" spans="1:7" s="155" customFormat="1" ht="15" hidden="1" customHeight="1" thickTop="1" x14ac:dyDescent="0.65">
      <c r="B105" s="175">
        <v>501</v>
      </c>
      <c r="C105" s="175">
        <v>1000</v>
      </c>
      <c r="D105" s="174">
        <v>26.4</v>
      </c>
      <c r="E105" s="175">
        <v>5001</v>
      </c>
      <c r="F105" s="175">
        <v>15000</v>
      </c>
      <c r="G105" s="176">
        <v>31.9</v>
      </c>
    </row>
    <row r="106" spans="1:7" s="155" customFormat="1" ht="15" hidden="1" customHeight="1" x14ac:dyDescent="0.65">
      <c r="B106" s="175">
        <v>1001</v>
      </c>
      <c r="C106" s="175">
        <v>2500</v>
      </c>
      <c r="D106" s="176">
        <v>34.1</v>
      </c>
      <c r="E106" s="175">
        <v>15001</v>
      </c>
      <c r="F106" s="175">
        <v>25000</v>
      </c>
      <c r="G106" s="176">
        <v>37.4</v>
      </c>
    </row>
    <row r="107" spans="1:7" s="155" customFormat="1" ht="15" hidden="1" customHeight="1" x14ac:dyDescent="0.65">
      <c r="B107" s="175">
        <v>2501</v>
      </c>
      <c r="C107" s="175">
        <v>4000</v>
      </c>
      <c r="D107" s="177">
        <v>41.8</v>
      </c>
      <c r="E107" s="175">
        <v>25001</v>
      </c>
      <c r="F107" s="175">
        <v>35000</v>
      </c>
      <c r="G107" s="177">
        <v>41.8</v>
      </c>
    </row>
    <row r="108" spans="1:7" s="155" customFormat="1" ht="15" hidden="1" customHeight="1" x14ac:dyDescent="0.65">
      <c r="B108" s="175">
        <v>4001</v>
      </c>
      <c r="C108" s="175">
        <v>5000</v>
      </c>
      <c r="D108" s="176">
        <v>45.1</v>
      </c>
      <c r="E108" s="175">
        <v>35001</v>
      </c>
      <c r="F108" s="175">
        <v>45000</v>
      </c>
      <c r="G108" s="176">
        <v>45.1</v>
      </c>
    </row>
    <row r="109" spans="1:7" s="155" customFormat="1" ht="15" hidden="1" customHeight="1" x14ac:dyDescent="0.65">
      <c r="B109" s="175">
        <v>5001</v>
      </c>
      <c r="C109" s="175">
        <v>7000</v>
      </c>
      <c r="D109" s="178">
        <v>49.5</v>
      </c>
      <c r="E109" s="175">
        <v>45001</v>
      </c>
      <c r="F109" s="175">
        <v>55000</v>
      </c>
      <c r="G109" s="178">
        <v>49.5</v>
      </c>
    </row>
    <row r="110" spans="1:7" s="155" customFormat="1" ht="15" hidden="1" customHeight="1" x14ac:dyDescent="0.65">
      <c r="B110" s="175">
        <v>7001</v>
      </c>
      <c r="C110" s="175">
        <v>10000</v>
      </c>
      <c r="D110" s="176">
        <v>52.8</v>
      </c>
      <c r="E110" s="175">
        <v>55001</v>
      </c>
      <c r="F110" s="175">
        <v>65000</v>
      </c>
      <c r="G110" s="176">
        <v>52.8</v>
      </c>
    </row>
    <row r="111" spans="1:7" s="155" customFormat="1" ht="15" hidden="1" customHeight="1" x14ac:dyDescent="0.65">
      <c r="B111" s="175">
        <v>10001</v>
      </c>
      <c r="C111" s="175">
        <v>20000</v>
      </c>
      <c r="D111" s="176">
        <v>57.2</v>
      </c>
      <c r="E111" s="175">
        <v>65001</v>
      </c>
      <c r="F111" s="175">
        <v>75000</v>
      </c>
      <c r="G111" s="176">
        <v>57.2</v>
      </c>
    </row>
    <row r="112" spans="1:7" s="155" customFormat="1" ht="15" hidden="1" customHeight="1" x14ac:dyDescent="0.65">
      <c r="B112" s="175">
        <v>20001</v>
      </c>
      <c r="C112" s="175">
        <v>30000</v>
      </c>
      <c r="D112" s="176">
        <v>60.5</v>
      </c>
      <c r="E112" s="175">
        <v>76001</v>
      </c>
      <c r="F112" s="175">
        <v>100000</v>
      </c>
      <c r="G112" s="176">
        <v>60.5</v>
      </c>
    </row>
    <row r="113" spans="1:7" s="155" customFormat="1" ht="15.75" hidden="1" customHeight="1" thickBot="1" x14ac:dyDescent="0.8">
      <c r="B113" s="179">
        <v>30001</v>
      </c>
      <c r="C113" s="179">
        <v>1000000</v>
      </c>
      <c r="D113" s="180">
        <v>64.900000000000006</v>
      </c>
      <c r="E113" s="179">
        <v>100000</v>
      </c>
      <c r="F113" s="179">
        <v>150000</v>
      </c>
      <c r="G113" s="180">
        <v>64.900000000000006</v>
      </c>
    </row>
    <row r="114" spans="1:7" s="1" customFormat="1" ht="13.5" hidden="1" customHeight="1" thickTop="1" thickBot="1" x14ac:dyDescent="0.75">
      <c r="A114" s="168"/>
      <c r="B114" s="179"/>
      <c r="C114" s="179"/>
      <c r="D114" s="180"/>
      <c r="E114" s="179">
        <v>150001</v>
      </c>
      <c r="F114" s="179">
        <v>250000</v>
      </c>
      <c r="G114" s="180">
        <v>68.2</v>
      </c>
    </row>
    <row r="115" spans="1:7" s="114" customFormat="1" ht="13.5" hidden="1" customHeight="1" thickTop="1" thickBot="1" x14ac:dyDescent="0.75">
      <c r="B115" s="179"/>
      <c r="C115" s="179"/>
      <c r="D115" s="180"/>
      <c r="E115" s="179">
        <v>250001</v>
      </c>
      <c r="F115" s="179">
        <v>10000000</v>
      </c>
      <c r="G115" s="180">
        <v>72.599999999999994</v>
      </c>
    </row>
    <row r="116" spans="1:7" s="114" customFormat="1" ht="13.5" hidden="1" customHeight="1" thickTop="1" x14ac:dyDescent="0.6">
      <c r="B116" s="119"/>
      <c r="E116" s="1"/>
      <c r="F116" s="1"/>
      <c r="G116" s="2"/>
    </row>
    <row r="117" spans="1:7" s="114" customFormat="1" ht="13.5" hidden="1" customHeight="1" x14ac:dyDescent="0.6">
      <c r="B117" s="119"/>
      <c r="E117" s="1"/>
      <c r="F117" s="1"/>
      <c r="G117" s="2"/>
    </row>
    <row r="118" spans="1:7" s="114" customFormat="1" ht="15" hidden="1" customHeight="1" x14ac:dyDescent="0.6">
      <c r="E118" s="1"/>
      <c r="F118" s="1"/>
      <c r="G118" s="120"/>
    </row>
    <row r="119" spans="1:7" s="114" customFormat="1" ht="15" hidden="1" customHeight="1" thickBot="1" x14ac:dyDescent="0.8">
      <c r="B119" s="154" t="s">
        <v>165</v>
      </c>
      <c r="E119" s="1"/>
      <c r="F119" s="1"/>
      <c r="G119" s="120" t="s">
        <v>166</v>
      </c>
    </row>
    <row r="120" spans="1:7" s="114" customFormat="1" ht="15" hidden="1" customHeight="1" thickTop="1" thickBot="1" x14ac:dyDescent="0.75">
      <c r="A120" s="181" t="s">
        <v>167</v>
      </c>
      <c r="B120" s="182"/>
      <c r="C120" s="183"/>
      <c r="D120" s="183" t="s">
        <v>4</v>
      </c>
      <c r="E120" s="183"/>
      <c r="F120" s="181" t="s">
        <v>168</v>
      </c>
      <c r="G120" s="184" t="s">
        <v>169</v>
      </c>
    </row>
    <row r="121" spans="1:7" s="114" customFormat="1" ht="13.5" hidden="1" customHeight="1" thickTop="1" x14ac:dyDescent="0.75">
      <c r="A121" s="185" t="s">
        <v>6</v>
      </c>
      <c r="B121" s="186" t="s">
        <v>170</v>
      </c>
      <c r="C121" s="187"/>
      <c r="D121" s="187"/>
      <c r="E121" s="188"/>
      <c r="F121" s="189">
        <v>9513</v>
      </c>
      <c r="G121" s="190">
        <v>10340</v>
      </c>
    </row>
    <row r="122" spans="1:7" s="114" customFormat="1" ht="13" hidden="1" x14ac:dyDescent="0.6">
      <c r="A122" s="191" t="s">
        <v>8</v>
      </c>
      <c r="B122" s="192" t="s">
        <v>171</v>
      </c>
      <c r="C122" s="1"/>
      <c r="D122" s="1"/>
      <c r="E122" s="193"/>
      <c r="F122" s="194" t="s">
        <v>2</v>
      </c>
      <c r="G122" s="195"/>
    </row>
    <row r="123" spans="1:7" s="114" customFormat="1" ht="13" hidden="1" x14ac:dyDescent="0.6">
      <c r="A123" s="196" t="s">
        <v>172</v>
      </c>
      <c r="B123" s="1" t="s">
        <v>173</v>
      </c>
      <c r="C123" s="1"/>
      <c r="D123" s="1"/>
      <c r="E123" s="193"/>
      <c r="F123" s="194">
        <v>18971</v>
      </c>
      <c r="G123" s="195">
        <v>20619</v>
      </c>
    </row>
    <row r="124" spans="1:7" s="114" customFormat="1" ht="13" hidden="1" x14ac:dyDescent="0.6">
      <c r="A124" s="196" t="s">
        <v>172</v>
      </c>
      <c r="B124" s="1" t="s">
        <v>174</v>
      </c>
      <c r="C124" s="1"/>
      <c r="D124" s="1"/>
      <c r="E124" s="193"/>
      <c r="F124" s="194"/>
      <c r="G124" s="195"/>
    </row>
    <row r="125" spans="1:7" s="114" customFormat="1" ht="13.75" hidden="1" thickBot="1" x14ac:dyDescent="0.75">
      <c r="A125" s="197"/>
      <c r="B125" s="198" t="s">
        <v>175</v>
      </c>
      <c r="C125" s="198"/>
      <c r="D125" s="198"/>
      <c r="E125" s="199"/>
      <c r="F125" s="200">
        <v>73</v>
      </c>
      <c r="G125" s="201">
        <v>78</v>
      </c>
    </row>
    <row r="126" spans="1:7" s="114" customFormat="1" ht="13.75" hidden="1" thickTop="1" x14ac:dyDescent="0.6">
      <c r="B126" s="119"/>
      <c r="G126" s="120"/>
    </row>
    <row r="127" spans="1:7" s="114" customFormat="1" ht="13" hidden="1" x14ac:dyDescent="0.6">
      <c r="B127" s="119"/>
      <c r="G127" s="120"/>
    </row>
    <row r="128" spans="1:7" s="114" customFormat="1" ht="13" hidden="1" x14ac:dyDescent="0.6">
      <c r="B128" s="119"/>
      <c r="G128" s="120"/>
    </row>
    <row r="129" spans="1:7" s="114" customFormat="1" ht="13" hidden="1" x14ac:dyDescent="0.6">
      <c r="B129" s="119" t="s">
        <v>176</v>
      </c>
      <c r="F129" s="120"/>
      <c r="G129" s="202"/>
    </row>
    <row r="130" spans="1:7" s="114" customFormat="1" ht="13.75" hidden="1" thickBot="1" x14ac:dyDescent="0.75">
      <c r="A130" s="157" t="s">
        <v>151</v>
      </c>
      <c r="B130" s="1"/>
      <c r="C130" s="156"/>
      <c r="D130" s="10"/>
      <c r="E130" s="110" t="s">
        <v>177</v>
      </c>
      <c r="F130" s="12"/>
      <c r="G130" s="203">
        <v>9000</v>
      </c>
    </row>
    <row r="131" spans="1:7" s="114" customFormat="1" ht="14.5" hidden="1" thickTop="1" thickBot="1" x14ac:dyDescent="0.75">
      <c r="A131" s="158" t="s">
        <v>152</v>
      </c>
      <c r="B131" s="158" t="s">
        <v>153</v>
      </c>
      <c r="C131" s="204" t="s">
        <v>156</v>
      </c>
      <c r="D131" s="205" t="s">
        <v>178</v>
      </c>
      <c r="E131" s="206"/>
      <c r="F131" s="207"/>
      <c r="G131" s="208"/>
    </row>
    <row r="132" spans="1:7" ht="16.25" hidden="1" thickTop="1" thickBot="1" x14ac:dyDescent="0.9">
      <c r="A132" s="209">
        <v>1</v>
      </c>
      <c r="B132" s="209">
        <v>10000</v>
      </c>
      <c r="C132" s="210">
        <v>1000</v>
      </c>
      <c r="D132" s="211" t="s">
        <v>179</v>
      </c>
      <c r="E132" s="212" t="s">
        <v>180</v>
      </c>
      <c r="F132" s="10"/>
      <c r="G132" s="213" t="s">
        <v>181</v>
      </c>
    </row>
    <row r="133" spans="1:7" ht="17.25" hidden="1" thickTop="1" thickBot="1" x14ac:dyDescent="0.9">
      <c r="A133" s="164">
        <v>10001</v>
      </c>
      <c r="B133" s="164">
        <v>15000</v>
      </c>
      <c r="C133" s="214">
        <v>1560</v>
      </c>
      <c r="D133" s="211">
        <v>1</v>
      </c>
      <c r="E133" s="212">
        <v>50</v>
      </c>
      <c r="F133" s="10"/>
      <c r="G133" s="215">
        <v>660000</v>
      </c>
    </row>
    <row r="134" spans="1:7" ht="17.25" hidden="1" thickTop="1" thickBot="1" x14ac:dyDescent="0.9">
      <c r="A134" s="164">
        <v>15001</v>
      </c>
      <c r="B134" s="164">
        <v>20000</v>
      </c>
      <c r="C134" s="214">
        <v>2120</v>
      </c>
      <c r="D134" s="211">
        <v>51</v>
      </c>
      <c r="E134" s="212">
        <v>100</v>
      </c>
      <c r="F134" s="10"/>
      <c r="G134" s="215">
        <v>1080000</v>
      </c>
    </row>
    <row r="135" spans="1:7" ht="17.25" hidden="1" thickTop="1" thickBot="1" x14ac:dyDescent="0.9">
      <c r="A135" s="164">
        <v>20001</v>
      </c>
      <c r="B135" s="164">
        <v>1000000</v>
      </c>
      <c r="C135" s="214">
        <v>2680</v>
      </c>
      <c r="D135" s="211">
        <v>101</v>
      </c>
      <c r="E135" s="212">
        <v>150</v>
      </c>
      <c r="F135" s="10"/>
      <c r="G135" s="215">
        <v>1620000</v>
      </c>
    </row>
    <row r="136" spans="1:7" ht="16.25" hidden="1" thickTop="1" thickBot="1" x14ac:dyDescent="0.9">
      <c r="A136" s="25" t="s">
        <v>182</v>
      </c>
      <c r="B136" s="11"/>
      <c r="C136" s="10"/>
      <c r="D136" s="216">
        <v>151</v>
      </c>
      <c r="E136" s="217">
        <v>200</v>
      </c>
      <c r="F136" s="218"/>
      <c r="G136" s="219">
        <v>2520000</v>
      </c>
    </row>
    <row r="137" spans="1:7" ht="16.25" hidden="1" thickTop="1" thickBot="1" x14ac:dyDescent="0.9">
      <c r="A137" s="25" t="s">
        <v>183</v>
      </c>
      <c r="B137" s="11"/>
      <c r="C137" s="204" t="s">
        <v>156</v>
      </c>
      <c r="D137" s="220" t="s">
        <v>184</v>
      </c>
      <c r="E137" s="221"/>
      <c r="F137" s="222" t="s">
        <v>185</v>
      </c>
      <c r="G137" s="223">
        <v>2000000</v>
      </c>
    </row>
    <row r="138" spans="1:7" ht="16.25" hidden="1" thickTop="1" thickBot="1" x14ac:dyDescent="0.9">
      <c r="A138" s="224" t="s">
        <v>186</v>
      </c>
      <c r="B138" s="225"/>
      <c r="C138" s="226">
        <v>6363</v>
      </c>
      <c r="D138" s="220" t="s">
        <v>187</v>
      </c>
      <c r="E138" s="221"/>
      <c r="F138" s="227" t="s">
        <v>188</v>
      </c>
      <c r="G138" s="223">
        <v>50</v>
      </c>
    </row>
    <row r="139" spans="1:7" ht="17.25" hidden="1" thickTop="1" thickBot="1" x14ac:dyDescent="0.9">
      <c r="A139" s="228" t="s">
        <v>189</v>
      </c>
      <c r="B139" s="164"/>
      <c r="C139" s="214">
        <v>957</v>
      </c>
      <c r="D139" s="220" t="s">
        <v>190</v>
      </c>
      <c r="E139" s="221"/>
      <c r="F139" s="227" t="s">
        <v>188</v>
      </c>
      <c r="G139" s="223">
        <v>50</v>
      </c>
    </row>
    <row r="140" spans="1:7" ht="17.25" hidden="1" thickTop="1" thickBot="1" x14ac:dyDescent="0.9">
      <c r="A140" s="164" t="s">
        <v>191</v>
      </c>
      <c r="B140" s="164"/>
      <c r="C140" s="214">
        <v>474</v>
      </c>
      <c r="D140" s="220" t="s">
        <v>192</v>
      </c>
      <c r="E140" s="221"/>
      <c r="F140" s="227" t="s">
        <v>188</v>
      </c>
      <c r="G140" s="223">
        <v>20</v>
      </c>
    </row>
    <row r="141" spans="1:7" ht="17.25" hidden="1" thickTop="1" thickBot="1" x14ac:dyDescent="0.9">
      <c r="A141" s="164" t="s">
        <v>193</v>
      </c>
      <c r="B141" s="164"/>
      <c r="C141" s="214">
        <v>500</v>
      </c>
      <c r="D141" s="220" t="s">
        <v>194</v>
      </c>
      <c r="E141" s="221"/>
      <c r="F141" s="222" t="s">
        <v>195</v>
      </c>
      <c r="G141" s="223">
        <v>80000</v>
      </c>
    </row>
    <row r="142" spans="1:7" ht="15.5" hidden="1" thickTop="1" x14ac:dyDescent="0.75">
      <c r="A142" s="10"/>
      <c r="B142" s="11"/>
      <c r="C142" s="10"/>
      <c r="D142" s="10"/>
      <c r="E142" s="10"/>
      <c r="F142" s="10"/>
      <c r="G142" s="12"/>
    </row>
    <row r="143" spans="1:7" ht="15.5" hidden="1" thickBot="1" x14ac:dyDescent="0.9">
      <c r="A143" s="10"/>
      <c r="B143" s="229" t="s">
        <v>196</v>
      </c>
      <c r="C143" s="10"/>
      <c r="D143" s="10"/>
      <c r="E143" s="10"/>
      <c r="F143" s="10"/>
      <c r="G143" s="12"/>
    </row>
    <row r="144" spans="1:7" hidden="1" x14ac:dyDescent="0.75">
      <c r="A144" s="230"/>
      <c r="B144" s="231" t="s">
        <v>197</v>
      </c>
      <c r="C144" s="232"/>
      <c r="D144" s="232"/>
      <c r="E144" s="232"/>
      <c r="F144" s="232"/>
      <c r="G144" s="233"/>
    </row>
    <row r="145" spans="1:7" hidden="1" x14ac:dyDescent="0.75">
      <c r="A145" s="234" t="s">
        <v>198</v>
      </c>
      <c r="B145" s="11"/>
      <c r="C145" s="10"/>
      <c r="D145" s="10"/>
      <c r="E145" s="10"/>
      <c r="F145" s="10"/>
      <c r="G145" s="235"/>
    </row>
    <row r="146" spans="1:7" hidden="1" x14ac:dyDescent="0.75">
      <c r="A146" s="234" t="s">
        <v>199</v>
      </c>
      <c r="B146" s="11"/>
      <c r="C146" s="10"/>
      <c r="D146" s="10"/>
      <c r="E146" s="10"/>
      <c r="F146" s="10"/>
      <c r="G146" s="235"/>
    </row>
    <row r="147" spans="1:7" hidden="1" x14ac:dyDescent="0.75">
      <c r="A147" s="234" t="s">
        <v>2</v>
      </c>
      <c r="B147" s="11" t="s">
        <v>200</v>
      </c>
      <c r="C147" s="10" t="s">
        <v>201</v>
      </c>
      <c r="D147" s="10"/>
      <c r="E147" s="10"/>
      <c r="F147" s="10"/>
      <c r="G147" s="235"/>
    </row>
    <row r="148" spans="1:7" ht="15.5" hidden="1" thickBot="1" x14ac:dyDescent="0.9">
      <c r="A148" s="236"/>
      <c r="B148" s="237" t="s">
        <v>202</v>
      </c>
      <c r="C148" s="238" t="s">
        <v>203</v>
      </c>
      <c r="D148" s="238"/>
      <c r="E148" s="238"/>
      <c r="F148" s="238"/>
      <c r="G148" s="239"/>
    </row>
    <row r="149" spans="1:7" ht="15.5" hidden="1" thickBot="1" x14ac:dyDescent="0.9">
      <c r="A149" s="10"/>
      <c r="B149" s="11" t="s">
        <v>204</v>
      </c>
      <c r="C149" s="10"/>
      <c r="D149" s="10"/>
      <c r="E149" s="10" t="s">
        <v>205</v>
      </c>
      <c r="F149" s="10" t="s">
        <v>206</v>
      </c>
      <c r="G149" s="240" t="s">
        <v>207</v>
      </c>
    </row>
    <row r="150" spans="1:7" ht="16.25" hidden="1" thickTop="1" thickBot="1" x14ac:dyDescent="0.9">
      <c r="A150" s="230"/>
      <c r="B150" s="231" t="s">
        <v>208</v>
      </c>
      <c r="C150" s="241"/>
      <c r="D150" s="10"/>
      <c r="E150" s="158" t="s">
        <v>163</v>
      </c>
      <c r="F150" s="158" t="s">
        <v>209</v>
      </c>
      <c r="G150" s="242" t="s">
        <v>44</v>
      </c>
    </row>
    <row r="151" spans="1:7" ht="17.25" hidden="1" thickTop="1" thickBot="1" x14ac:dyDescent="0.9">
      <c r="A151" s="234">
        <v>1</v>
      </c>
      <c r="B151" s="11">
        <v>3</v>
      </c>
      <c r="C151" s="243">
        <v>35000000</v>
      </c>
      <c r="D151" s="10"/>
      <c r="E151" s="244">
        <v>1</v>
      </c>
      <c r="F151" s="244">
        <v>800</v>
      </c>
      <c r="G151" s="245">
        <v>10</v>
      </c>
    </row>
    <row r="152" spans="1:7" ht="17.25" hidden="1" thickTop="1" thickBot="1" x14ac:dyDescent="0.9">
      <c r="A152" s="236" t="s">
        <v>210</v>
      </c>
      <c r="B152" s="237"/>
      <c r="C152" s="246"/>
      <c r="D152" s="10"/>
      <c r="E152" s="247">
        <v>801</v>
      </c>
      <c r="F152" s="247">
        <v>5000</v>
      </c>
      <c r="G152" s="248">
        <v>20</v>
      </c>
    </row>
    <row r="153" spans="1:7" ht="17.25" hidden="1" thickTop="1" thickBot="1" x14ac:dyDescent="0.9">
      <c r="A153" s="10"/>
      <c r="B153" s="11"/>
      <c r="C153" s="10"/>
      <c r="D153" s="10"/>
      <c r="E153" s="247">
        <v>5001</v>
      </c>
      <c r="F153" s="247">
        <v>1000000</v>
      </c>
      <c r="G153" s="248">
        <v>100</v>
      </c>
    </row>
    <row r="154" spans="1:7" ht="15.5" hidden="1" thickTop="1" x14ac:dyDescent="0.75">
      <c r="A154" s="10"/>
      <c r="B154" s="11"/>
      <c r="C154" s="10"/>
      <c r="D154" s="10"/>
      <c r="E154" s="10"/>
      <c r="F154" s="10"/>
      <c r="G154" s="12"/>
    </row>
    <row r="155" spans="1:7" ht="15.5" hidden="1" thickBot="1" x14ac:dyDescent="0.9">
      <c r="A155" s="10"/>
      <c r="B155" s="11"/>
      <c r="C155" s="10"/>
      <c r="D155" s="10"/>
      <c r="E155" s="249" t="s">
        <v>211</v>
      </c>
      <c r="F155" s="11"/>
      <c r="G155" s="10"/>
    </row>
    <row r="156" spans="1:7" ht="16.25" hidden="1" thickTop="1" thickBot="1" x14ac:dyDescent="0.9">
      <c r="A156" s="249"/>
      <c r="B156" s="11" t="s">
        <v>212</v>
      </c>
      <c r="C156" s="10"/>
      <c r="D156" s="10"/>
      <c r="E156" s="158" t="s">
        <v>152</v>
      </c>
      <c r="F156" s="158" t="s">
        <v>153</v>
      </c>
      <c r="G156" s="204" t="s">
        <v>156</v>
      </c>
    </row>
    <row r="157" spans="1:7" ht="16.25" hidden="1" thickTop="1" thickBot="1" x14ac:dyDescent="0.9">
      <c r="A157" s="158" t="s">
        <v>152</v>
      </c>
      <c r="B157" s="158" t="s">
        <v>153</v>
      </c>
      <c r="C157" s="204" t="s">
        <v>156</v>
      </c>
      <c r="D157" s="10"/>
      <c r="E157" s="158">
        <v>0</v>
      </c>
      <c r="F157" s="158">
        <v>0</v>
      </c>
      <c r="G157" s="204">
        <v>0</v>
      </c>
    </row>
    <row r="158" spans="1:7" ht="17.25" hidden="1" thickTop="1" thickBot="1" x14ac:dyDescent="0.9">
      <c r="A158" s="158">
        <v>0</v>
      </c>
      <c r="B158" s="158">
        <v>0</v>
      </c>
      <c r="C158" s="204">
        <v>0</v>
      </c>
      <c r="D158" s="10"/>
      <c r="E158" s="250">
        <v>1</v>
      </c>
      <c r="F158" s="244">
        <v>1500</v>
      </c>
      <c r="G158" s="251">
        <v>260</v>
      </c>
    </row>
    <row r="159" spans="1:7" ht="17.25" hidden="1" thickTop="1" thickBot="1" x14ac:dyDescent="0.9">
      <c r="A159" s="250">
        <v>1</v>
      </c>
      <c r="B159" s="244">
        <v>200</v>
      </c>
      <c r="C159" s="251">
        <v>1</v>
      </c>
      <c r="E159" s="164">
        <v>1501</v>
      </c>
      <c r="F159" s="164">
        <v>5000</v>
      </c>
      <c r="G159" s="214">
        <v>670</v>
      </c>
    </row>
    <row r="160" spans="1:7" ht="17.25" hidden="1" thickTop="1" thickBot="1" x14ac:dyDescent="0.9">
      <c r="A160" s="164">
        <v>201</v>
      </c>
      <c r="B160" s="164">
        <v>500</v>
      </c>
      <c r="C160" s="214">
        <v>2</v>
      </c>
      <c r="E160" s="164">
        <v>5001</v>
      </c>
      <c r="F160" s="164">
        <v>10000</v>
      </c>
      <c r="G160" s="214">
        <v>1300</v>
      </c>
    </row>
    <row r="161" spans="1:7" ht="17.25" hidden="1" thickTop="1" thickBot="1" x14ac:dyDescent="0.9">
      <c r="A161" s="164">
        <v>501</v>
      </c>
      <c r="B161" s="164">
        <v>1000</v>
      </c>
      <c r="C161" s="214">
        <v>4</v>
      </c>
      <c r="E161" s="164">
        <v>10001</v>
      </c>
      <c r="F161" s="164">
        <v>1000000</v>
      </c>
      <c r="G161" s="214">
        <v>1800</v>
      </c>
    </row>
    <row r="162" spans="1:7" ht="17.25" hidden="1" thickTop="1" thickBot="1" x14ac:dyDescent="0.9">
      <c r="A162" s="164">
        <v>1001</v>
      </c>
      <c r="B162" s="164">
        <v>5000</v>
      </c>
      <c r="C162" s="214">
        <v>10</v>
      </c>
    </row>
    <row r="163" spans="1:7" ht="17.25" hidden="1" thickTop="1" thickBot="1" x14ac:dyDescent="0.9">
      <c r="A163" s="164">
        <v>5001</v>
      </c>
      <c r="B163" s="164">
        <v>15000</v>
      </c>
      <c r="C163" s="214">
        <v>40</v>
      </c>
    </row>
    <row r="164" spans="1:7" ht="17.25" hidden="1" thickTop="1" thickBot="1" x14ac:dyDescent="0.9">
      <c r="A164" s="164">
        <v>15001</v>
      </c>
      <c r="B164" s="164">
        <v>1000000</v>
      </c>
      <c r="C164" s="214">
        <v>100</v>
      </c>
    </row>
    <row r="165" spans="1:7" ht="16.25" hidden="1" thickTop="1" thickBot="1" x14ac:dyDescent="0.9">
      <c r="A165" s="249"/>
      <c r="B165" s="11" t="s">
        <v>213</v>
      </c>
      <c r="C165" s="10"/>
    </row>
    <row r="166" spans="1:7" ht="16.25" hidden="1" thickTop="1" thickBot="1" x14ac:dyDescent="0.9">
      <c r="A166" s="158" t="s">
        <v>152</v>
      </c>
      <c r="B166" s="158" t="s">
        <v>153</v>
      </c>
      <c r="C166" s="204" t="s">
        <v>156</v>
      </c>
    </row>
    <row r="167" spans="1:7" ht="17.25" hidden="1" thickTop="1" thickBot="1" x14ac:dyDescent="0.9">
      <c r="A167" s="250">
        <v>0</v>
      </c>
      <c r="B167" s="250">
        <v>200</v>
      </c>
      <c r="C167" s="251">
        <v>2</v>
      </c>
    </row>
    <row r="168" spans="1:7" ht="17.25" hidden="1" thickTop="1" thickBot="1" x14ac:dyDescent="0.9">
      <c r="A168" s="164">
        <v>201</v>
      </c>
      <c r="B168" s="164">
        <v>500</v>
      </c>
      <c r="C168" s="214">
        <v>4</v>
      </c>
    </row>
    <row r="169" spans="1:7" ht="17.25" hidden="1" thickTop="1" thickBot="1" x14ac:dyDescent="0.9">
      <c r="A169" s="164">
        <v>501</v>
      </c>
      <c r="B169" s="164">
        <v>1000</v>
      </c>
      <c r="C169" s="214">
        <v>8</v>
      </c>
    </row>
    <row r="170" spans="1:7" ht="17.25" hidden="1" thickTop="1" thickBot="1" x14ac:dyDescent="0.9">
      <c r="A170" s="164">
        <v>1001</v>
      </c>
      <c r="B170" s="164">
        <v>5000</v>
      </c>
      <c r="C170" s="214">
        <v>20</v>
      </c>
    </row>
    <row r="171" spans="1:7" ht="17.25" hidden="1" thickTop="1" thickBot="1" x14ac:dyDescent="0.9">
      <c r="A171" s="164">
        <v>5001</v>
      </c>
      <c r="B171" s="164">
        <v>15000</v>
      </c>
      <c r="C171" s="214">
        <v>80</v>
      </c>
    </row>
    <row r="172" spans="1:7" ht="17.25" hidden="1" thickTop="1" thickBot="1" x14ac:dyDescent="0.9">
      <c r="A172" s="164">
        <v>15001</v>
      </c>
      <c r="B172" s="164">
        <v>1000000</v>
      </c>
      <c r="C172" s="214">
        <v>200</v>
      </c>
    </row>
  </sheetData>
  <sheetProtection algorithmName="SHA-512" hashValue="fTMgWdGKZLg7zJS6LM9CnIWWItM2DT7Ykbr8ZQV/s3ntH8KmkaZ2vFGGE7cvWLjdVSvz0KIR4aDEytYecS4RzQ==" saltValue="CVp9D7MnfZa2NQAHrLaY8w==" spinCount="100000" sheet="1" objects="1" scenarios="1"/>
  <mergeCells count="15">
    <mergeCell ref="E65:F65"/>
    <mergeCell ref="E66:F66"/>
    <mergeCell ref="E67:F67"/>
    <mergeCell ref="E59:F59"/>
    <mergeCell ref="E60:F60"/>
    <mergeCell ref="E61:F61"/>
    <mergeCell ref="E62:F62"/>
    <mergeCell ref="E63:F63"/>
    <mergeCell ref="E64:F64"/>
    <mergeCell ref="E58:F58"/>
    <mergeCell ref="E10:F10"/>
    <mergeCell ref="E11:F11"/>
    <mergeCell ref="E14:F14"/>
    <mergeCell ref="E15:F15"/>
    <mergeCell ref="E57:F57"/>
  </mergeCells>
  <dataValidations count="6">
    <dataValidation type="list" allowBlank="1" showErrorMessage="1" prompt=" " sqref="E19" xr:uid="{B9B414EF-8609-4B39-83EA-B8EC5755E27E}">
      <formula1>$D$59:$D$80</formula1>
    </dataValidation>
    <dataValidation type="list" showInputMessage="1" showErrorMessage="1" sqref="E14:F14" xr:uid="{D7451AF8-23BA-4D8A-BAB6-0198FBD80825}">
      <formula1>$B$59:$B$63</formula1>
    </dataValidation>
    <dataValidation type="list" allowBlank="1" showInputMessage="1" showErrorMessage="1" sqref="E15:F15" xr:uid="{E8860531-F5E2-4941-A940-F14204761EE2}">
      <formula1>$C$59:$C$63</formula1>
    </dataValidation>
    <dataValidation type="list" showInputMessage="1" showErrorMessage="1" sqref="E10:F10" xr:uid="{C00264F1-059C-4B1E-A84F-FA1EB12C7A97}">
      <formula1>$E$59:$E$87</formula1>
    </dataValidation>
    <dataValidation type="list" showInputMessage="1" showErrorMessage="1" sqref="E11:F11" xr:uid="{38B42424-57B3-4C9D-8FAF-40C26BB9B428}">
      <formula1>$G$59:$G$73</formula1>
    </dataValidation>
    <dataValidation type="list" allowBlank="1" showInputMessage="1" showErrorMessage="1" sqref="E18" xr:uid="{C0A509AB-4082-4C82-BFE5-502FC1B72E43}">
      <formula1>$A$59:$A$61</formula1>
    </dataValidation>
  </dataValidations>
  <printOptions horizontalCentered="1"/>
  <pageMargins left="0.18802083333333333" right="0.23749999999999999" top="0.39370078740157483" bottom="0.39370078740157483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PDA 1405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</dc:creator>
  <cp:lastModifiedBy>Mehdi Asgari</cp:lastModifiedBy>
  <cp:lastPrinted>2023-07-24T07:20:36Z</cp:lastPrinted>
  <dcterms:created xsi:type="dcterms:W3CDTF">2022-05-09T05:40:48Z</dcterms:created>
  <dcterms:modified xsi:type="dcterms:W3CDTF">2026-09-01T06:43:37Z</dcterms:modified>
</cp:coreProperties>
</file>