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di\AppData\Local\Microsoft\Windows\INetCache\Content.Outlook\XZT69MUW\"/>
    </mc:Choice>
  </mc:AlternateContent>
  <xr:revisionPtr revIDLastSave="0" documentId="13_ncr:1_{C0FDDEC3-FB8F-4494-A08E-B6793619A643}" xr6:coauthVersionLast="47" xr6:coauthVersionMax="47" xr10:uidLastSave="{00000000-0000-0000-0000-000000000000}"/>
  <bookViews>
    <workbookView xWindow="-93" yWindow="-93" windowWidth="20186" windowHeight="12800" xr2:uid="{2CD7C10D-F2D9-47F4-B496-D82C579DEE2A}"/>
  </bookViews>
  <sheets>
    <sheet name="PDA 14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E30" i="1" l="1"/>
  <c r="G46" i="1" l="1"/>
  <c r="F43" i="1"/>
  <c r="G43" i="1" s="1"/>
  <c r="F37" i="1"/>
  <c r="F34" i="1"/>
  <c r="G34" i="1" s="1"/>
  <c r="F41" i="1"/>
  <c r="C43" i="1"/>
  <c r="D41" i="1"/>
  <c r="C42" i="1"/>
  <c r="C37" i="1"/>
  <c r="E54" i="1"/>
  <c r="G53" i="1"/>
  <c r="G54" i="1" s="1"/>
  <c r="E53" i="1"/>
  <c r="B53" i="1"/>
  <c r="G52" i="1"/>
  <c r="E52" i="1"/>
  <c r="G51" i="1"/>
  <c r="C48" i="1"/>
  <c r="F46" i="1"/>
  <c r="E46" i="1"/>
  <c r="B46" i="1"/>
  <c r="G45" i="1"/>
  <c r="F44" i="1"/>
  <c r="G44" i="1" s="1"/>
  <c r="E43" i="1"/>
  <c r="F42" i="1"/>
  <c r="G42" i="1" s="1"/>
  <c r="E42" i="1"/>
  <c r="E41" i="1"/>
  <c r="B41" i="1"/>
  <c r="F40" i="1"/>
  <c r="E40" i="1"/>
  <c r="D40" i="1"/>
  <c r="F39" i="1"/>
  <c r="E39" i="1"/>
  <c r="D39" i="1"/>
  <c r="B39" i="1"/>
  <c r="F38" i="1"/>
  <c r="E38" i="1"/>
  <c r="D38" i="1"/>
  <c r="E37" i="1"/>
  <c r="F36" i="1"/>
  <c r="G36" i="1" s="1"/>
  <c r="F35" i="1"/>
  <c r="G35" i="1" s="1"/>
  <c r="G37" i="1" l="1"/>
  <c r="G39" i="1"/>
  <c r="G40" i="1" s="1"/>
  <c r="G38" i="1"/>
  <c r="G47" i="1" l="1"/>
  <c r="G48" i="1" s="1"/>
  <c r="G49" i="1" l="1"/>
  <c r="G50" i="1" s="1"/>
  <c r="G55" i="1" s="1"/>
</calcChain>
</file>

<file path=xl/sharedStrings.xml><?xml version="1.0" encoding="utf-8"?>
<sst xmlns="http://schemas.openxmlformats.org/spreadsheetml/2006/main" count="271" uniqueCount="221">
  <si>
    <t xml:space="preserve"> VSL'S/TANKER'S NAME:</t>
  </si>
  <si>
    <t>VOYAGE:</t>
  </si>
  <si>
    <t xml:space="preserve"> </t>
  </si>
  <si>
    <t>SR.</t>
  </si>
  <si>
    <t>NARRATIVE</t>
  </si>
  <si>
    <t xml:space="preserve">                         OPTIONS</t>
  </si>
  <si>
    <t>01</t>
  </si>
  <si>
    <t>PORT OF CALL</t>
  </si>
  <si>
    <t>02</t>
  </si>
  <si>
    <t>TYPE OF THE VESSEL</t>
  </si>
  <si>
    <t>03</t>
  </si>
  <si>
    <t>NO. OF HATCHES/TANKS</t>
  </si>
  <si>
    <t>04</t>
  </si>
  <si>
    <t>L.O.A.</t>
  </si>
  <si>
    <t>05</t>
  </si>
  <si>
    <t xml:space="preserve">OPERATION </t>
  </si>
  <si>
    <t>06</t>
  </si>
  <si>
    <t>TERM OF SHIPMENT</t>
  </si>
  <si>
    <t>07</t>
  </si>
  <si>
    <t>NO.OF CONSIGNEE/SHIPPERS</t>
  </si>
  <si>
    <t>08</t>
  </si>
  <si>
    <t>EST. NO. OF DYS VESEL TO BE STAYED AT THE ANCHOARGE</t>
  </si>
  <si>
    <t>09</t>
  </si>
  <si>
    <t>PLACE OF LOADING/DISCHARGING</t>
  </si>
  <si>
    <t>10</t>
  </si>
  <si>
    <t xml:space="preserve">COMMODITY </t>
  </si>
  <si>
    <t>11</t>
  </si>
  <si>
    <t>CARGO QUANTITY(METRIC TON)</t>
  </si>
  <si>
    <t>MTS.</t>
  </si>
  <si>
    <t>12</t>
  </si>
  <si>
    <t>VESSELS  G.T.</t>
  </si>
  <si>
    <t>13</t>
  </si>
  <si>
    <t>VESSELS  N.T.</t>
  </si>
  <si>
    <t>14</t>
  </si>
  <si>
    <t>EST. ROUND UP NO. OF DAYS VESSEL ALONGSIDE</t>
  </si>
  <si>
    <t>DAYS</t>
  </si>
  <si>
    <t>15</t>
  </si>
  <si>
    <t>EST. HOURS VESSEL TO BE STAY ALONGSIDE</t>
  </si>
  <si>
    <t>HOURS</t>
  </si>
  <si>
    <t>AA-</t>
  </si>
  <si>
    <t>ESTIMATED PORT AND HARBOR DUES AS PER PREVAILING TARIFFS:</t>
  </si>
  <si>
    <t>S</t>
  </si>
  <si>
    <t xml:space="preserve">                                    DESCRIPTION</t>
  </si>
  <si>
    <t>BASIS</t>
  </si>
  <si>
    <t>USD</t>
  </si>
  <si>
    <t xml:space="preserve">AMOUNT $ </t>
  </si>
  <si>
    <t>1</t>
  </si>
  <si>
    <t>ENTRANCE TO THE PORTAND PORT  MOUTH</t>
  </si>
  <si>
    <t>G.T./TARIFF</t>
  </si>
  <si>
    <t>2</t>
  </si>
  <si>
    <t>LIGHT &amp; BUOYAGE DUES</t>
  </si>
  <si>
    <t>3</t>
  </si>
  <si>
    <t>DISCHARGING/LOADING</t>
  </si>
  <si>
    <t>CARGO QUANTITY</t>
  </si>
  <si>
    <t>4</t>
  </si>
  <si>
    <t>DREDGING</t>
  </si>
  <si>
    <t>5</t>
  </si>
  <si>
    <t xml:space="preserve">TUG CHARGES </t>
  </si>
  <si>
    <t>6</t>
  </si>
  <si>
    <t>7</t>
  </si>
  <si>
    <t>EST. PILOTAGE OVER TIME</t>
  </si>
  <si>
    <t>8</t>
  </si>
  <si>
    <t>9</t>
  </si>
  <si>
    <t>EST.SIDE WHARFAGE</t>
  </si>
  <si>
    <t xml:space="preserve">EST. GARBAGE COLLECTION ALONGSIDE </t>
  </si>
  <si>
    <t xml:space="preserve">ARRIVAL/DEPARTURE INSPECTION/CLEARANCE CHARGES </t>
  </si>
  <si>
    <t>G.T</t>
  </si>
  <si>
    <t xml:space="preserve">EST. GARBAGE COLLECTION AT THE ANCHORAGE </t>
  </si>
  <si>
    <t>G.T/DAY</t>
  </si>
  <si>
    <t>TOTAL ESTIMATED PORT DUES PRIOR DISCOUNT</t>
  </si>
  <si>
    <t>LESS DISCOUNT</t>
  </si>
  <si>
    <t>BALANCE EST. PORT AND HARBOUR DUES AFTER DISCOUNT, IF ANY</t>
  </si>
  <si>
    <t>BB-</t>
  </si>
  <si>
    <t xml:space="preserve">EST.9  PCT VAT ON PORT AND HARBOUR DUES </t>
  </si>
  <si>
    <t>CC-</t>
  </si>
  <si>
    <t>Q.M.O.FEE</t>
  </si>
  <si>
    <t>AS PER TARIFF</t>
  </si>
  <si>
    <t>DD-</t>
  </si>
  <si>
    <t>EST. CUSTOMS OVERTIME</t>
  </si>
  <si>
    <t>EE-</t>
  </si>
  <si>
    <t>FF</t>
  </si>
  <si>
    <t>EST. 9 PCT VAT ON N.I.O.C. CHARGES</t>
  </si>
  <si>
    <t>TOTAL OF THE ABOVE</t>
  </si>
  <si>
    <r>
      <t xml:space="preserve">                  </t>
    </r>
    <r>
      <rPr>
        <b/>
        <u/>
        <sz val="10"/>
        <rFont val="Arial"/>
        <family val="2"/>
      </rPr>
      <t>FOLLOWING STATUS HAVE BEEN PREDICTED IN STATUS COLUMN</t>
    </r>
  </si>
  <si>
    <t>TERM OF</t>
  </si>
  <si>
    <t>TYPE OF THE</t>
  </si>
  <si>
    <t>FLAG</t>
  </si>
  <si>
    <t>OPERATION</t>
  </si>
  <si>
    <t xml:space="preserve"> SHIPMENT</t>
  </si>
  <si>
    <t>COMMODITY</t>
  </si>
  <si>
    <t>VESSEL</t>
  </si>
  <si>
    <t>JETTY</t>
  </si>
  <si>
    <t>LOADING</t>
  </si>
  <si>
    <t>FREE IN</t>
  </si>
  <si>
    <t>CRUDE OIL</t>
  </si>
  <si>
    <t>BANDAR ABBAS</t>
  </si>
  <si>
    <t>BULK CARRIER</t>
  </si>
  <si>
    <t>SBM/SPM/STS</t>
  </si>
  <si>
    <t>DISCHARGING</t>
  </si>
  <si>
    <t>FREE OUT</t>
  </si>
  <si>
    <t>GAS</t>
  </si>
  <si>
    <t>BANDAR ANZALI</t>
  </si>
  <si>
    <t>CONTAINER CARRIER</t>
  </si>
  <si>
    <t>DISCH &amp; LOAD</t>
  </si>
  <si>
    <t>LINER IN</t>
  </si>
  <si>
    <t>STEEL PRODUCTS</t>
  </si>
  <si>
    <t>BANDAR IMAM KHOMEINI (B.I.K.)</t>
  </si>
  <si>
    <t>GENERAL CARGO</t>
  </si>
  <si>
    <t>LINER OUT</t>
  </si>
  <si>
    <t>MINERALS</t>
  </si>
  <si>
    <t>BIK-MAHSHAR  PETZONE INCLUDING RAZI JETTIES</t>
  </si>
  <si>
    <t>GAS CARRIER</t>
  </si>
  <si>
    <t>SULPHUR</t>
  </si>
  <si>
    <t>CHABAHAR</t>
  </si>
  <si>
    <t>MULTI PURPOSE VESSEL</t>
  </si>
  <si>
    <t>CLINKER</t>
  </si>
  <si>
    <t xml:space="preserve">KHARG ISLAND/OIL TERMINAL  </t>
  </si>
  <si>
    <t>RO - RO</t>
  </si>
  <si>
    <t>CONTAINER</t>
  </si>
  <si>
    <t xml:space="preserve">KHARG ISLAND/KHEMCO </t>
  </si>
  <si>
    <t>RO - RO/CONTAINER</t>
  </si>
  <si>
    <t>CEMENT</t>
  </si>
  <si>
    <t>MAHSHAR</t>
  </si>
  <si>
    <t>TANKER</t>
  </si>
  <si>
    <t>SANDS, GRIT,GYPSUM</t>
  </si>
  <si>
    <t>BUSHEHR</t>
  </si>
  <si>
    <t>FEEDER</t>
  </si>
  <si>
    <t>PETROCHEMICAL PRODUCT</t>
  </si>
  <si>
    <t>ASSALUYEH PARS SERVICE PORT</t>
  </si>
  <si>
    <t>CHEMICAL CARRIER</t>
  </si>
  <si>
    <t>GAS COKE</t>
  </si>
  <si>
    <t>ASSALUYEH PETRO CHEMISTRY PORT</t>
  </si>
  <si>
    <t>OBO TANKER</t>
  </si>
  <si>
    <t>QESHM-KAVEH BERTH</t>
  </si>
  <si>
    <t>TUG AND BARGE</t>
  </si>
  <si>
    <t>GYPSUM</t>
  </si>
  <si>
    <t>B.ABBAS BARCO BERTH</t>
  </si>
  <si>
    <t>OIL DERIVATIVES</t>
  </si>
  <si>
    <t>KHORRAMSHAHR</t>
  </si>
  <si>
    <t>RORO</t>
  </si>
  <si>
    <t>B.I.K - K.S.C. JETTY</t>
  </si>
  <si>
    <t xml:space="preserve">IRON ORE </t>
  </si>
  <si>
    <t>NOSHAHR</t>
  </si>
  <si>
    <t xml:space="preserve">OTHERS </t>
  </si>
  <si>
    <t xml:space="preserve">AMIRABAD- NEKA </t>
  </si>
  <si>
    <t>KISH</t>
  </si>
  <si>
    <t>B.I.K - N.P.C./T.T.P.C</t>
  </si>
  <si>
    <t>B.I.K - PETZONE LIQUID JETTY</t>
  </si>
  <si>
    <t>SAROOJ JETTY</t>
  </si>
  <si>
    <t xml:space="preserve">ASTARA </t>
  </si>
  <si>
    <t xml:space="preserve">BANDAR LENGEH </t>
  </si>
  <si>
    <t xml:space="preserve">LAVAN ISLAND </t>
  </si>
  <si>
    <t>ASSALUYEH FARASAKOU PORT</t>
  </si>
  <si>
    <t xml:space="preserve">SIRRI ISLAND </t>
  </si>
  <si>
    <t xml:space="preserve">PARSIAN PORT </t>
  </si>
  <si>
    <t xml:space="preserve">IRAN LNG /TOMBAK PORT </t>
  </si>
  <si>
    <t xml:space="preserve">TANKER  GARBAGE COLLECTION </t>
  </si>
  <si>
    <t xml:space="preserve">     TUG BOAT TARIFF ON G.R.T. BASIS</t>
  </si>
  <si>
    <t xml:space="preserve">              TARIFF ON G.R.T. BASIS</t>
  </si>
  <si>
    <t xml:space="preserve">  FROM</t>
  </si>
  <si>
    <t xml:space="preserve">  TO</t>
  </si>
  <si>
    <t>FOREIGN FLAG(USD)</t>
  </si>
  <si>
    <t>IRANIAN FLAG</t>
  </si>
  <si>
    <t>AMOUNT (USD)</t>
  </si>
  <si>
    <t xml:space="preserve"> N.B. VESSELS STAY LONGER THAN 7 DAYS ALONGSIDE ARE</t>
  </si>
  <si>
    <t xml:space="preserve"> SUBJECT TO 1/7 OF ABOVE TARIFF PER EXTRA DAY AS </t>
  </si>
  <si>
    <t xml:space="preserve">    ADDITIONAL GARBAGE  COLLECTION CHARGES</t>
  </si>
  <si>
    <t xml:space="preserve">          QUARANTINE CHARGES TARIFF  ON G.R.T. BASIS</t>
  </si>
  <si>
    <t>CARGO VESSEL</t>
  </si>
  <si>
    <t>TANKERS</t>
  </si>
  <si>
    <t>FROM</t>
  </si>
  <si>
    <t xml:space="preserve">TO </t>
  </si>
  <si>
    <t xml:space="preserve">         TUG BOAT AND PILOTAGE TARIFF TO BE PAID TO N.I.O.C</t>
  </si>
  <si>
    <t>MAHSAHAR</t>
  </si>
  <si>
    <t>SR</t>
  </si>
  <si>
    <t>KHARG OIL TERMINAL</t>
  </si>
  <si>
    <t>ASSALYUEH/KHG PET</t>
  </si>
  <si>
    <r>
      <t>PILOTAGE :</t>
    </r>
    <r>
      <rPr>
        <sz val="11"/>
        <color theme="1"/>
        <rFont val="Calibri"/>
        <family val="2"/>
        <scheme val="minor"/>
      </rPr>
      <t>FOR ONE BERTHING/UNBERTHING</t>
    </r>
  </si>
  <si>
    <t>TUG BOAT:</t>
  </si>
  <si>
    <t>*</t>
  </si>
  <si>
    <t xml:space="preserve"> TANKER UP TO 20,000 MTS. N.R.T.</t>
  </si>
  <si>
    <t xml:space="preserve"> ADDITIONAL TUG BOAT FOR TANKER WITH MORE THAN</t>
  </si>
  <si>
    <t xml:space="preserve"> 20,000 MTS. N.R.T.= EACH 100 MTS. N.R.T.</t>
  </si>
  <si>
    <t>ASSALUYEH TUG BOAT TARIFF</t>
  </si>
  <si>
    <t>ISOICO TARIFF IN IRR.       R.O.E.</t>
  </si>
  <si>
    <t>1- SIDE WARFAGE BASIS ON L.O.A OF THE VSL:</t>
  </si>
  <si>
    <t>FROM/MTR</t>
  </si>
  <si>
    <t>TO/MTR</t>
  </si>
  <si>
    <t>IRR</t>
  </si>
  <si>
    <t xml:space="preserve">MAHSHAR ADDITONAL TARIFF TO BE PAID </t>
  </si>
  <si>
    <t>TO ABADAN NIOC</t>
  </si>
  <si>
    <t>2- MOORING /UNMOORING</t>
  </si>
  <si>
    <t>2 OPS.</t>
  </si>
  <si>
    <t>PILOTAGE ALREADY IN NIOC TARIFF</t>
  </si>
  <si>
    <t xml:space="preserve">3- ENTERANCE TO THE BASIN </t>
  </si>
  <si>
    <t>PER GRT</t>
  </si>
  <si>
    <t>MOORING/UNMOOREING</t>
  </si>
  <si>
    <t>4- CANAL DREDGING                  P/GRT</t>
  </si>
  <si>
    <t>MOTOR BOAT AT MAHSHAHR</t>
  </si>
  <si>
    <t xml:space="preserve">5- LIGHT DUES,BOUYEH </t>
  </si>
  <si>
    <t>MOTOR BOAT AT B.I.K</t>
  </si>
  <si>
    <t>6- GARBAGE COLLECTION        P/DAY</t>
  </si>
  <si>
    <t>PER DAY</t>
  </si>
  <si>
    <t>KISH FREE ZONE DUES</t>
  </si>
  <si>
    <t>10+DAY X USD:0.10 X GRT</t>
  </si>
  <si>
    <t>Free Zone authorities rounds up the GRT to higher figure, I.E if the GRT is 3177 the round up would be 3200</t>
  </si>
  <si>
    <t>vsl staying longer than 7 days alongside the KFZ dues will be subject</t>
  </si>
  <si>
    <t>8-14 days</t>
  </si>
  <si>
    <t>30% additional</t>
  </si>
  <si>
    <t>15-30 days</t>
  </si>
  <si>
    <t>50% additional</t>
  </si>
  <si>
    <t>QESHM LAFT JETTY</t>
  </si>
  <si>
    <t xml:space="preserve">GARBAGE </t>
  </si>
  <si>
    <t xml:space="preserve">NORT PORTS </t>
  </si>
  <si>
    <t xml:space="preserve">PER DAY </t>
  </si>
  <si>
    <t>BARGE HIRE</t>
  </si>
  <si>
    <t>TO</t>
  </si>
  <si>
    <t>4 days onward additional IRR 5500000/DAY</t>
  </si>
  <si>
    <t xml:space="preserve">TUG CHARGES NORTH PORTS </t>
  </si>
  <si>
    <t xml:space="preserve">GARBAGE COLLECTION ALONGSIDE </t>
  </si>
  <si>
    <t xml:space="preserve">GARBAGE COLLECTION ANCHORAGE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</si>
</sst>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1" fillId="2" borderId="0" xfId="1" applyFill="1" applyProtection="1">
      <protection hidden="1"/>
    </xf>
    <xf numFmtId="2" fontId="1" fillId="2" borderId="0" xfId="1" applyNumberFormat="1" applyFill="1" applyAlignment="1" applyProtection="1">
      <alignment horizontal="right"/>
      <protection hidden="1"/>
    </xf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1" xfId="1" applyFont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2" fillId="2" borderId="0" xfId="1" applyFont="1" applyFill="1" applyAlignment="1">
      <alignment horizontal="right"/>
    </xf>
    <xf numFmtId="0" fontId="1" fillId="2" borderId="3" xfId="1" applyFill="1" applyBorder="1" applyProtection="1">
      <protection locked="0"/>
    </xf>
    <xf numFmtId="2" fontId="1" fillId="2" borderId="0" xfId="1" applyNumberFormat="1" applyFill="1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2" fontId="1" fillId="0" borderId="0" xfId="1" applyNumberFormat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left"/>
    </xf>
    <xf numFmtId="0" fontId="2" fillId="3" borderId="8" xfId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right"/>
    </xf>
    <xf numFmtId="0" fontId="2" fillId="2" borderId="0" xfId="1" applyFont="1" applyFill="1"/>
    <xf numFmtId="0" fontId="2" fillId="0" borderId="9" xfId="1" quotePrefix="1" applyFont="1" applyBorder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0" fontId="2" fillId="0" borderId="14" xfId="1" quotePrefix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left"/>
      <protection locked="0"/>
    </xf>
    <xf numFmtId="0" fontId="2" fillId="2" borderId="15" xfId="1" applyFont="1" applyFill="1" applyBorder="1" applyAlignment="1">
      <alignment horizontal="left"/>
    </xf>
    <xf numFmtId="0" fontId="1" fillId="2" borderId="15" xfId="1" applyFill="1" applyBorder="1"/>
    <xf numFmtId="0" fontId="3" fillId="2" borderId="15" xfId="1" applyFont="1" applyFill="1" applyBorder="1"/>
    <xf numFmtId="0" fontId="2" fillId="2" borderId="18" xfId="1" applyFont="1" applyFill="1" applyBorder="1" applyAlignment="1">
      <alignment horizontal="left"/>
    </xf>
    <xf numFmtId="0" fontId="1" fillId="2" borderId="18" xfId="1" applyFill="1" applyBorder="1"/>
    <xf numFmtId="0" fontId="3" fillId="2" borderId="18" xfId="1" applyFont="1" applyFill="1" applyBorder="1"/>
    <xf numFmtId="3" fontId="2" fillId="2" borderId="12" xfId="1" applyNumberFormat="1" applyFont="1" applyFill="1" applyBorder="1" applyProtection="1">
      <protection locked="0"/>
    </xf>
    <xf numFmtId="0" fontId="1" fillId="0" borderId="19" xfId="1" applyBorder="1"/>
    <xf numFmtId="0" fontId="4" fillId="2" borderId="18" xfId="1" applyFont="1" applyFill="1" applyBorder="1" applyAlignment="1">
      <alignment horizontal="left"/>
    </xf>
    <xf numFmtId="0" fontId="5" fillId="2" borderId="18" xfId="1" applyFont="1" applyFill="1" applyBorder="1"/>
    <xf numFmtId="0" fontId="6" fillId="2" borderId="18" xfId="1" applyFont="1" applyFill="1" applyBorder="1"/>
    <xf numFmtId="0" fontId="1" fillId="0" borderId="20" xfId="1" applyBorder="1"/>
    <xf numFmtId="0" fontId="1" fillId="2" borderId="18" xfId="1" quotePrefix="1" applyFill="1" applyBorder="1"/>
    <xf numFmtId="2" fontId="2" fillId="2" borderId="20" xfId="1" applyNumberFormat="1" applyFont="1" applyFill="1" applyBorder="1" applyProtection="1">
      <protection locked="0"/>
    </xf>
    <xf numFmtId="2" fontId="2" fillId="2" borderId="19" xfId="1" applyNumberFormat="1" applyFont="1" applyFill="1" applyBorder="1"/>
    <xf numFmtId="3" fontId="2" fillId="2" borderId="16" xfId="1" applyNumberFormat="1" applyFont="1" applyFill="1" applyBorder="1" applyProtection="1">
      <protection locked="0"/>
    </xf>
    <xf numFmtId="2" fontId="1" fillId="2" borderId="0" xfId="1" applyNumberFormat="1" applyFill="1"/>
    <xf numFmtId="0" fontId="2" fillId="2" borderId="16" xfId="1" applyFont="1" applyFill="1" applyBorder="1" applyAlignment="1">
      <alignment horizontal="left"/>
    </xf>
    <xf numFmtId="0" fontId="2" fillId="2" borderId="16" xfId="1" applyFont="1" applyFill="1" applyBorder="1" applyProtection="1">
      <protection locked="0"/>
    </xf>
    <xf numFmtId="2" fontId="1" fillId="2" borderId="21" xfId="1" applyNumberForma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1" fillId="2" borderId="22" xfId="1" quotePrefix="1" applyFill="1" applyBorder="1"/>
    <xf numFmtId="0" fontId="2" fillId="2" borderId="23" xfId="1" applyFont="1" applyFill="1" applyBorder="1" applyProtection="1">
      <protection locked="0"/>
    </xf>
    <xf numFmtId="2" fontId="2" fillId="2" borderId="24" xfId="1" applyNumberFormat="1" applyFont="1" applyFill="1" applyBorder="1"/>
    <xf numFmtId="0" fontId="1" fillId="2" borderId="0" xfId="1" quotePrefix="1" applyFill="1"/>
    <xf numFmtId="0" fontId="1" fillId="2" borderId="0" xfId="1" applyFill="1" applyAlignment="1">
      <alignment horizontal="left"/>
    </xf>
    <xf numFmtId="0" fontId="7" fillId="0" borderId="0" xfId="1" applyFont="1" applyAlignment="1" applyProtection="1">
      <alignment horizontal="center"/>
      <protection hidden="1"/>
    </xf>
    <xf numFmtId="0" fontId="7" fillId="0" borderId="0" xfId="1" applyFont="1" applyAlignment="1" applyProtection="1">
      <alignment horizontal="left"/>
      <protection hidden="1"/>
    </xf>
    <xf numFmtId="0" fontId="8" fillId="0" borderId="0" xfId="1" applyFont="1" applyProtection="1">
      <protection hidden="1"/>
    </xf>
    <xf numFmtId="2" fontId="8" fillId="0" borderId="0" xfId="1" applyNumberFormat="1" applyFont="1" applyAlignment="1" applyProtection="1">
      <alignment horizontal="right"/>
      <protection hidden="1"/>
    </xf>
    <xf numFmtId="0" fontId="2" fillId="3" borderId="25" xfId="1" applyFont="1" applyFill="1" applyBorder="1" applyAlignment="1" applyProtection="1">
      <alignment horizontal="center"/>
      <protection hidden="1"/>
    </xf>
    <xf numFmtId="0" fontId="2" fillId="3" borderId="26" xfId="1" applyFont="1" applyFill="1" applyBorder="1" applyProtection="1">
      <protection hidden="1"/>
    </xf>
    <xf numFmtId="0" fontId="2" fillId="3" borderId="27" xfId="1" applyFont="1" applyFill="1" applyBorder="1" applyProtection="1">
      <protection hidden="1"/>
    </xf>
    <xf numFmtId="0" fontId="2" fillId="3" borderId="28" xfId="1" applyFont="1" applyFill="1" applyBorder="1" applyProtection="1">
      <protection hidden="1"/>
    </xf>
    <xf numFmtId="0" fontId="2" fillId="3" borderId="26" xfId="1" applyFont="1" applyFill="1" applyBorder="1" applyAlignment="1" applyProtection="1">
      <alignment horizontal="center"/>
      <protection hidden="1"/>
    </xf>
    <xf numFmtId="2" fontId="2" fillId="3" borderId="26" xfId="1" applyNumberFormat="1" applyFont="1" applyFill="1" applyBorder="1" applyAlignment="1" applyProtection="1">
      <alignment horizontal="center"/>
      <protection hidden="1"/>
    </xf>
    <xf numFmtId="2" fontId="2" fillId="3" borderId="29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1" fillId="2" borderId="30" xfId="1" quotePrefix="1" applyFill="1" applyBorder="1" applyAlignment="1" applyProtection="1">
      <alignment horizontal="center"/>
      <protection hidden="1"/>
    </xf>
    <xf numFmtId="0" fontId="1" fillId="2" borderId="7" xfId="1" applyFill="1" applyBorder="1" applyProtection="1">
      <protection hidden="1"/>
    </xf>
    <xf numFmtId="0" fontId="1" fillId="2" borderId="31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32" xfId="1" applyFill="1" applyBorder="1" applyAlignment="1" applyProtection="1">
      <alignment horizontal="center"/>
      <protection hidden="1"/>
    </xf>
    <xf numFmtId="164" fontId="1" fillId="2" borderId="32" xfId="1" applyNumberFormat="1" applyFill="1" applyBorder="1" applyAlignment="1" applyProtection="1">
      <alignment horizontal="center"/>
      <protection hidden="1"/>
    </xf>
    <xf numFmtId="2" fontId="9" fillId="2" borderId="33" xfId="1" applyNumberFormat="1" applyFont="1" applyFill="1" applyBorder="1" applyAlignment="1" applyProtection="1">
      <alignment horizontal="right" shrinkToFit="1"/>
      <protection hidden="1"/>
    </xf>
    <xf numFmtId="164" fontId="1" fillId="2" borderId="32" xfId="1" applyNumberFormat="1" applyFill="1" applyBorder="1" applyAlignment="1" applyProtection="1">
      <alignment horizontal="center" shrinkToFit="1"/>
      <protection hidden="1"/>
    </xf>
    <xf numFmtId="0" fontId="1" fillId="2" borderId="32" xfId="1" applyFill="1" applyBorder="1" applyAlignment="1" applyProtection="1">
      <alignment horizontal="center" shrinkToFit="1"/>
      <protection hidden="1"/>
    </xf>
    <xf numFmtId="0" fontId="1" fillId="2" borderId="31" xfId="1" applyFill="1" applyBorder="1" applyAlignment="1" applyProtection="1">
      <alignment shrinkToFit="1"/>
      <protection hidden="1"/>
    </xf>
    <xf numFmtId="164" fontId="1" fillId="2" borderId="33" xfId="1" applyNumberFormat="1" applyFill="1" applyBorder="1" applyAlignment="1" applyProtection="1">
      <alignment horizontal="center" shrinkToFit="1"/>
      <protection hidden="1"/>
    </xf>
    <xf numFmtId="0" fontId="10" fillId="0" borderId="0" xfId="0" applyFont="1"/>
    <xf numFmtId="2" fontId="1" fillId="2" borderId="33" xfId="1" applyNumberFormat="1" applyFill="1" applyBorder="1" applyAlignment="1" applyProtection="1">
      <alignment horizontal="center" shrinkToFit="1"/>
      <protection hidden="1"/>
    </xf>
    <xf numFmtId="165" fontId="1" fillId="2" borderId="32" xfId="1" applyNumberFormat="1" applyFill="1" applyBorder="1" applyAlignment="1" applyProtection="1">
      <alignment horizontal="center" shrinkToFit="1"/>
      <protection hidden="1"/>
    </xf>
    <xf numFmtId="0" fontId="11" fillId="2" borderId="7" xfId="1" applyFont="1" applyFill="1" applyBorder="1" applyProtection="1">
      <protection hidden="1"/>
    </xf>
    <xf numFmtId="164" fontId="1" fillId="0" borderId="32" xfId="1" applyNumberFormat="1" applyBorder="1" applyAlignment="1" applyProtection="1">
      <alignment horizontal="center" shrinkToFit="1"/>
      <protection hidden="1"/>
    </xf>
    <xf numFmtId="0" fontId="5" fillId="2" borderId="34" xfId="1" applyFont="1" applyFill="1" applyBorder="1" applyProtection="1">
      <protection hidden="1"/>
    </xf>
    <xf numFmtId="0" fontId="1" fillId="2" borderId="35" xfId="1" applyFill="1" applyBorder="1" applyProtection="1">
      <protection hidden="1"/>
    </xf>
    <xf numFmtId="0" fontId="1" fillId="2" borderId="36" xfId="1" applyFill="1" applyBorder="1" applyProtection="1">
      <protection hidden="1"/>
    </xf>
    <xf numFmtId="164" fontId="1" fillId="0" borderId="37" xfId="1" applyNumberFormat="1" applyBorder="1" applyAlignment="1" applyProtection="1">
      <alignment horizontal="center" shrinkToFit="1"/>
      <protection hidden="1"/>
    </xf>
    <xf numFmtId="165" fontId="1" fillId="2" borderId="35" xfId="1" applyNumberFormat="1" applyFill="1" applyBorder="1" applyAlignment="1" applyProtection="1">
      <alignment horizontal="center" shrinkToFit="1"/>
      <protection hidden="1"/>
    </xf>
    <xf numFmtId="2" fontId="9" fillId="2" borderId="38" xfId="1" applyNumberFormat="1" applyFont="1" applyFill="1" applyBorder="1" applyAlignment="1" applyProtection="1">
      <alignment horizontal="right" shrinkToFit="1"/>
      <protection hidden="1"/>
    </xf>
    <xf numFmtId="0" fontId="5" fillId="2" borderId="5" xfId="1" applyFont="1" applyFill="1" applyBorder="1" applyAlignment="1" applyProtection="1">
      <alignment horizontal="left"/>
      <protection hidden="1"/>
    </xf>
    <xf numFmtId="0" fontId="5" fillId="2" borderId="6" xfId="1" applyFont="1" applyFill="1" applyBorder="1" applyProtection="1">
      <protection hidden="1"/>
    </xf>
    <xf numFmtId="0" fontId="1" fillId="2" borderId="39" xfId="1" applyFill="1" applyBorder="1" applyProtection="1">
      <protection hidden="1"/>
    </xf>
    <xf numFmtId="0" fontId="1" fillId="2" borderId="4" xfId="1" applyFill="1" applyBorder="1" applyAlignment="1" applyProtection="1">
      <alignment horizontal="left" shrinkToFit="1"/>
      <protection hidden="1"/>
    </xf>
    <xf numFmtId="2" fontId="9" fillId="2" borderId="40" xfId="1" applyNumberFormat="1" applyFont="1" applyFill="1" applyBorder="1" applyAlignment="1" applyProtection="1">
      <alignment horizontal="right" shrinkToFit="1"/>
      <protection hidden="1"/>
    </xf>
    <xf numFmtId="0" fontId="2" fillId="2" borderId="27" xfId="1" applyFont="1" applyFill="1" applyBorder="1" applyAlignment="1" applyProtection="1">
      <alignment horizontal="center"/>
      <protection hidden="1"/>
    </xf>
    <xf numFmtId="0" fontId="2" fillId="2" borderId="41" xfId="1" applyFont="1" applyFill="1" applyBorder="1" applyProtection="1">
      <protection hidden="1"/>
    </xf>
    <xf numFmtId="0" fontId="2" fillId="2" borderId="42" xfId="1" applyFont="1" applyFill="1" applyBorder="1" applyProtection="1">
      <protection hidden="1"/>
    </xf>
    <xf numFmtId="0" fontId="2" fillId="2" borderId="28" xfId="1" applyFont="1" applyFill="1" applyBorder="1" applyProtection="1">
      <protection hidden="1"/>
    </xf>
    <xf numFmtId="2" fontId="7" fillId="2" borderId="26" xfId="1" applyNumberFormat="1" applyFont="1" applyFill="1" applyBorder="1" applyAlignment="1" applyProtection="1">
      <alignment horizontal="right" shrinkToFit="1"/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12" fillId="2" borderId="0" xfId="1" applyFont="1" applyFill="1" applyProtection="1">
      <protection hidden="1"/>
    </xf>
    <xf numFmtId="0" fontId="2" fillId="2" borderId="43" xfId="1" applyFont="1" applyFill="1" applyBorder="1" applyProtection="1">
      <protection hidden="1"/>
    </xf>
    <xf numFmtId="2" fontId="13" fillId="2" borderId="0" xfId="1" applyNumberFormat="1" applyFont="1" applyFill="1" applyProtection="1">
      <protection hidden="1"/>
    </xf>
    <xf numFmtId="2" fontId="2" fillId="2" borderId="0" xfId="1" applyNumberFormat="1" applyFont="1" applyFill="1" applyProtection="1">
      <protection hidden="1"/>
    </xf>
    <xf numFmtId="0" fontId="7" fillId="2" borderId="32" xfId="1" applyFont="1" applyFill="1" applyBorder="1" applyAlignment="1" applyProtection="1">
      <alignment horizontal="center"/>
      <protection hidden="1"/>
    </xf>
    <xf numFmtId="0" fontId="14" fillId="2" borderId="35" xfId="1" applyFont="1" applyFill="1" applyBorder="1" applyProtection="1">
      <protection hidden="1"/>
    </xf>
    <xf numFmtId="0" fontId="2" fillId="2" borderId="35" xfId="1" applyFont="1" applyFill="1" applyBorder="1" applyProtection="1">
      <protection hidden="1"/>
    </xf>
    <xf numFmtId="0" fontId="2" fillId="2" borderId="36" xfId="1" applyFont="1" applyFill="1" applyBorder="1" applyProtection="1">
      <protection hidden="1"/>
    </xf>
    <xf numFmtId="2" fontId="7" fillId="2" borderId="36" xfId="1" applyNumberFormat="1" applyFont="1" applyFill="1" applyBorder="1" applyAlignment="1" applyProtection="1">
      <alignment horizontal="right" shrinkToFit="1"/>
      <protection hidden="1"/>
    </xf>
    <xf numFmtId="0" fontId="7" fillId="0" borderId="32" xfId="1" applyFont="1" applyBorder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left"/>
      <protection hidden="1"/>
    </xf>
    <xf numFmtId="0" fontId="2" fillId="0" borderId="31" xfId="1" applyFont="1" applyBorder="1" applyProtection="1">
      <protection hidden="1"/>
    </xf>
    <xf numFmtId="0" fontId="2" fillId="0" borderId="31" xfId="1" applyFont="1" applyBorder="1" applyAlignment="1" applyProtection="1">
      <alignment horizontal="left"/>
      <protection hidden="1"/>
    </xf>
    <xf numFmtId="0" fontId="2" fillId="0" borderId="8" xfId="1" applyFont="1" applyBorder="1" applyProtection="1">
      <protection hidden="1"/>
    </xf>
    <xf numFmtId="2" fontId="7" fillId="0" borderId="32" xfId="1" applyNumberFormat="1" applyFont="1" applyBorder="1" applyAlignment="1" applyProtection="1">
      <alignment horizontal="right" shrinkToFit="1"/>
      <protection hidden="1"/>
    </xf>
    <xf numFmtId="2" fontId="2" fillId="0" borderId="31" xfId="1" applyNumberFormat="1" applyFont="1" applyBorder="1" applyProtection="1">
      <protection hidden="1"/>
    </xf>
    <xf numFmtId="0" fontId="2" fillId="0" borderId="0" xfId="1" applyFont="1" applyProtection="1">
      <protection hidden="1"/>
    </xf>
    <xf numFmtId="0" fontId="15" fillId="0" borderId="7" xfId="1" applyFont="1" applyBorder="1" applyAlignment="1" applyProtection="1">
      <alignment horizontal="left"/>
      <protection hidden="1"/>
    </xf>
    <xf numFmtId="0" fontId="1" fillId="0" borderId="0" xfId="1" applyAlignment="1" applyProtection="1">
      <alignment horizontal="center"/>
      <protection hidden="1"/>
    </xf>
    <xf numFmtId="0" fontId="16" fillId="0" borderId="0" xfId="1" applyFont="1" applyAlignment="1" applyProtection="1">
      <alignment horizontal="left"/>
      <protection hidden="1"/>
    </xf>
    <xf numFmtId="0" fontId="1" fillId="0" borderId="0" xfId="1" applyProtection="1">
      <protection hidden="1"/>
    </xf>
    <xf numFmtId="0" fontId="3" fillId="2" borderId="0" xfId="1" applyFont="1" applyFill="1" applyAlignment="1">
      <alignment horizontal="center"/>
    </xf>
    <xf numFmtId="0" fontId="13" fillId="2" borderId="0" xfId="1" applyFont="1" applyFill="1"/>
    <xf numFmtId="0" fontId="3" fillId="2" borderId="0" xfId="1" applyFont="1" applyFill="1"/>
    <xf numFmtId="2" fontId="3" fillId="2" borderId="0" xfId="1" applyNumberFormat="1" applyFont="1" applyFill="1" applyAlignment="1">
      <alignment horizontal="right"/>
    </xf>
    <xf numFmtId="0" fontId="1" fillId="0" borderId="0" xfId="1" applyAlignment="1" applyProtection="1">
      <alignment horizontal="left"/>
      <protection hidden="1"/>
    </xf>
    <xf numFmtId="2" fontId="1" fillId="0" borderId="0" xfId="1" applyNumberFormat="1" applyAlignment="1" applyProtection="1">
      <alignment horizontal="right"/>
      <protection hidden="1"/>
    </xf>
    <xf numFmtId="0" fontId="1" fillId="4" borderId="38" xfId="1" applyFill="1" applyBorder="1" applyAlignment="1" applyProtection="1">
      <alignment horizontal="center"/>
      <protection hidden="1"/>
    </xf>
    <xf numFmtId="0" fontId="1" fillId="4" borderId="44" xfId="1" applyFill="1" applyBorder="1" applyAlignment="1" applyProtection="1">
      <alignment horizontal="center"/>
      <protection hidden="1"/>
    </xf>
    <xf numFmtId="0" fontId="1" fillId="4" borderId="45" xfId="1" applyFill="1" applyBorder="1" applyAlignment="1" applyProtection="1">
      <alignment horizontal="center"/>
      <protection hidden="1"/>
    </xf>
    <xf numFmtId="2" fontId="1" fillId="4" borderId="37" xfId="1" applyNumberFormat="1" applyFill="1" applyBorder="1" applyAlignment="1" applyProtection="1">
      <alignment horizontal="right"/>
      <protection hidden="1"/>
    </xf>
    <xf numFmtId="0" fontId="1" fillId="2" borderId="0" xfId="1" applyFill="1" applyAlignment="1" applyProtection="1">
      <alignment horizontal="center"/>
      <protection hidden="1"/>
    </xf>
    <xf numFmtId="0" fontId="1" fillId="4" borderId="46" xfId="1" applyFill="1" applyBorder="1" applyAlignment="1" applyProtection="1">
      <alignment horizontal="center"/>
      <protection hidden="1"/>
    </xf>
    <xf numFmtId="0" fontId="1" fillId="4" borderId="47" xfId="1" applyFill="1" applyBorder="1" applyAlignment="1" applyProtection="1">
      <alignment horizontal="center"/>
      <protection hidden="1"/>
    </xf>
    <xf numFmtId="0" fontId="1" fillId="4" borderId="48" xfId="1" applyFill="1" applyBorder="1" applyAlignment="1" applyProtection="1">
      <alignment horizontal="center"/>
      <protection hidden="1"/>
    </xf>
    <xf numFmtId="2" fontId="1" fillId="4" borderId="51" xfId="1" applyNumberFormat="1" applyFill="1" applyBorder="1" applyAlignment="1" applyProtection="1">
      <alignment horizontal="right"/>
      <protection hidden="1"/>
    </xf>
    <xf numFmtId="0" fontId="1" fillId="2" borderId="9" xfId="1" applyFill="1" applyBorder="1" applyProtection="1">
      <protection hidden="1"/>
    </xf>
    <xf numFmtId="0" fontId="1" fillId="2" borderId="10" xfId="1" applyFill="1" applyBorder="1" applyProtection="1">
      <protection hidden="1"/>
    </xf>
    <xf numFmtId="0" fontId="1" fillId="2" borderId="52" xfId="1" applyFill="1" applyBorder="1" applyProtection="1">
      <protection hidden="1"/>
    </xf>
    <xf numFmtId="2" fontId="1" fillId="2" borderId="43" xfId="1" applyNumberFormat="1" applyFill="1" applyBorder="1" applyAlignment="1" applyProtection="1">
      <alignment horizontal="right" shrinkToFit="1"/>
      <protection hidden="1"/>
    </xf>
    <xf numFmtId="0" fontId="1" fillId="2" borderId="55" xfId="1" applyFill="1" applyBorder="1" applyProtection="1">
      <protection hidden="1"/>
    </xf>
    <xf numFmtId="0" fontId="1" fillId="2" borderId="18" xfId="1" applyFill="1" applyBorder="1" applyProtection="1">
      <protection hidden="1"/>
    </xf>
    <xf numFmtId="0" fontId="1" fillId="2" borderId="56" xfId="1" applyFill="1" applyBorder="1" applyProtection="1">
      <protection hidden="1"/>
    </xf>
    <xf numFmtId="0" fontId="1" fillId="0" borderId="17" xfId="1" applyBorder="1" applyAlignment="1" applyProtection="1">
      <alignment horizontal="center"/>
      <protection hidden="1"/>
    </xf>
    <xf numFmtId="0" fontId="1" fillId="2" borderId="21" xfId="1" quotePrefix="1" applyFill="1" applyBorder="1" applyProtection="1">
      <protection hidden="1"/>
    </xf>
    <xf numFmtId="0" fontId="1" fillId="0" borderId="57" xfId="1" applyBorder="1" applyProtection="1">
      <protection hidden="1"/>
    </xf>
    <xf numFmtId="0" fontId="1" fillId="0" borderId="17" xfId="1" applyBorder="1" applyProtection="1">
      <protection hidden="1"/>
    </xf>
    <xf numFmtId="0" fontId="1" fillId="2" borderId="58" xfId="1" applyFill="1" applyBorder="1" applyProtection="1">
      <protection hidden="1"/>
    </xf>
    <xf numFmtId="0" fontId="1" fillId="2" borderId="59" xfId="1" applyFill="1" applyBorder="1" applyProtection="1">
      <protection hidden="1"/>
    </xf>
    <xf numFmtId="0" fontId="1" fillId="0" borderId="16" xfId="1" applyBorder="1" applyAlignment="1" applyProtection="1">
      <alignment horizontal="left"/>
      <protection hidden="1"/>
    </xf>
    <xf numFmtId="2" fontId="1" fillId="2" borderId="43" xfId="1" applyNumberFormat="1" applyFill="1" applyBorder="1" applyAlignment="1" applyProtection="1">
      <alignment horizontal="right"/>
      <protection hidden="1"/>
    </xf>
    <xf numFmtId="0" fontId="1" fillId="0" borderId="60" xfId="1" applyBorder="1" applyAlignment="1" applyProtection="1">
      <alignment horizontal="left"/>
      <protection hidden="1"/>
    </xf>
    <xf numFmtId="0" fontId="1" fillId="0" borderId="61" xfId="1" applyBorder="1" applyAlignment="1" applyProtection="1">
      <alignment horizontal="center"/>
      <protection hidden="1"/>
    </xf>
    <xf numFmtId="0" fontId="1" fillId="0" borderId="62" xfId="1" applyBorder="1" applyProtection="1">
      <protection hidden="1"/>
    </xf>
    <xf numFmtId="0" fontId="1" fillId="0" borderId="61" xfId="1" applyBorder="1" applyProtection="1">
      <protection hidden="1"/>
    </xf>
    <xf numFmtId="0" fontId="1" fillId="0" borderId="63" xfId="1" applyBorder="1" applyProtection="1">
      <protection hidden="1"/>
    </xf>
    <xf numFmtId="0" fontId="1" fillId="2" borderId="64" xfId="1" applyFill="1" applyBorder="1" applyProtection="1">
      <protection hidden="1"/>
    </xf>
    <xf numFmtId="0" fontId="1" fillId="0" borderId="65" xfId="1" applyBorder="1" applyProtection="1">
      <protection hidden="1"/>
    </xf>
    <xf numFmtId="0" fontId="1" fillId="2" borderId="66" xfId="1" applyFill="1" applyBorder="1" applyProtection="1">
      <protection hidden="1"/>
    </xf>
    <xf numFmtId="2" fontId="1" fillId="2" borderId="67" xfId="1" applyNumberFormat="1" applyFill="1" applyBorder="1" applyAlignment="1" applyProtection="1">
      <alignment horizontal="right"/>
      <protection hidden="1"/>
    </xf>
    <xf numFmtId="0" fontId="18" fillId="2" borderId="0" xfId="1" applyFont="1" applyFill="1" applyProtection="1">
      <protection hidden="1"/>
    </xf>
    <xf numFmtId="0" fontId="19" fillId="2" borderId="0" xfId="1" applyFont="1" applyFill="1" applyProtection="1">
      <protection hidden="1"/>
    </xf>
    <xf numFmtId="2" fontId="1" fillId="2" borderId="0" xfId="1" applyNumberFormat="1" applyFill="1" applyProtection="1">
      <protection hidden="1"/>
    </xf>
    <xf numFmtId="0" fontId="20" fillId="2" borderId="0" xfId="1" applyFont="1" applyFill="1" applyProtection="1">
      <protection hidden="1"/>
    </xf>
    <xf numFmtId="0" fontId="2" fillId="4" borderId="32" xfId="1" applyFont="1" applyFill="1" applyBorder="1" applyAlignment="1" applyProtection="1">
      <alignment horizontal="center"/>
      <protection hidden="1"/>
    </xf>
    <xf numFmtId="0" fontId="2" fillId="4" borderId="32" xfId="1" applyFont="1" applyFill="1" applyBorder="1" applyAlignment="1" applyProtection="1">
      <alignment horizontal="center" shrinkToFit="1"/>
      <protection hidden="1"/>
    </xf>
    <xf numFmtId="2" fontId="2" fillId="4" borderId="32" xfId="1" applyNumberFormat="1" applyFont="1" applyFill="1" applyBorder="1" applyAlignment="1" applyProtection="1">
      <alignment horizontal="right"/>
      <protection hidden="1"/>
    </xf>
    <xf numFmtId="0" fontId="2" fillId="0" borderId="32" xfId="1" applyFont="1" applyBorder="1" applyAlignment="1" applyProtection="1">
      <alignment horizontal="center"/>
      <protection hidden="1"/>
    </xf>
    <xf numFmtId="0" fontId="2" fillId="0" borderId="32" xfId="1" applyFont="1" applyBorder="1" applyAlignment="1" applyProtection="1">
      <alignment horizontal="center" shrinkToFit="1"/>
      <protection hidden="1"/>
    </xf>
    <xf numFmtId="2" fontId="2" fillId="0" borderId="32" xfId="1" applyNumberFormat="1" applyFont="1" applyBorder="1" applyAlignment="1" applyProtection="1">
      <alignment horizontal="right"/>
      <protection hidden="1"/>
    </xf>
    <xf numFmtId="0" fontId="19" fillId="2" borderId="32" xfId="1" applyFont="1" applyFill="1" applyBorder="1" applyProtection="1">
      <protection hidden="1"/>
    </xf>
    <xf numFmtId="2" fontId="19" fillId="2" borderId="32" xfId="1" applyNumberFormat="1" applyFont="1" applyFill="1" applyBorder="1" applyAlignment="1" applyProtection="1">
      <alignment horizontal="center"/>
      <protection hidden="1"/>
    </xf>
    <xf numFmtId="2" fontId="19" fillId="2" borderId="32" xfId="1" applyNumberFormat="1" applyFont="1" applyFill="1" applyBorder="1" applyAlignment="1" applyProtection="1">
      <alignment horizontal="right"/>
      <protection hidden="1"/>
    </xf>
    <xf numFmtId="0" fontId="21" fillId="2" borderId="0" xfId="1" applyFont="1" applyFill="1" applyAlignment="1" applyProtection="1">
      <alignment horizontal="left"/>
      <protection hidden="1"/>
    </xf>
    <xf numFmtId="0" fontId="1" fillId="2" borderId="0" xfId="1" applyFill="1" applyAlignment="1" applyProtection="1">
      <alignment horizontal="left"/>
      <protection hidden="1"/>
    </xf>
    <xf numFmtId="0" fontId="22" fillId="2" borderId="0" xfId="1" applyFont="1" applyFill="1" applyProtection="1">
      <protection hidden="1"/>
    </xf>
    <xf numFmtId="2" fontId="22" fillId="2" borderId="0" xfId="1" applyNumberFormat="1" applyFont="1" applyFill="1" applyAlignment="1" applyProtection="1">
      <alignment horizontal="right"/>
      <protection hidden="1"/>
    </xf>
    <xf numFmtId="2" fontId="2" fillId="4" borderId="32" xfId="1" applyNumberFormat="1" applyFont="1" applyFill="1" applyBorder="1" applyAlignment="1" applyProtection="1">
      <alignment horizontal="center"/>
      <protection hidden="1"/>
    </xf>
    <xf numFmtId="0" fontId="2" fillId="4" borderId="7" xfId="1" applyFont="1" applyFill="1" applyBorder="1" applyAlignment="1" applyProtection="1">
      <alignment horizontal="center"/>
      <protection hidden="1"/>
    </xf>
    <xf numFmtId="0" fontId="1" fillId="2" borderId="68" xfId="1" applyFill="1" applyBorder="1" applyProtection="1">
      <protection hidden="1"/>
    </xf>
    <xf numFmtId="2" fontId="1" fillId="2" borderId="69" xfId="1" applyNumberFormat="1" applyFill="1" applyBorder="1" applyProtection="1">
      <protection hidden="1"/>
    </xf>
    <xf numFmtId="0" fontId="1" fillId="2" borderId="70" xfId="1" applyFill="1" applyBorder="1" applyProtection="1">
      <protection hidden="1"/>
    </xf>
    <xf numFmtId="2" fontId="1" fillId="2" borderId="57" xfId="1" applyNumberFormat="1" applyFill="1" applyBorder="1" applyProtection="1">
      <protection hidden="1"/>
    </xf>
    <xf numFmtId="2" fontId="1" fillId="2" borderId="62" xfId="1" applyNumberFormat="1" applyFill="1" applyBorder="1" applyProtection="1">
      <protection hidden="1"/>
    </xf>
    <xf numFmtId="2" fontId="1" fillId="2" borderId="71" xfId="1" applyNumberFormat="1" applyFill="1" applyBorder="1" applyProtection="1">
      <protection hidden="1"/>
    </xf>
    <xf numFmtId="0" fontId="1" fillId="2" borderId="72" xfId="1" applyFill="1" applyBorder="1" applyProtection="1">
      <protection hidden="1"/>
    </xf>
    <xf numFmtId="2" fontId="1" fillId="2" borderId="63" xfId="1" applyNumberFormat="1" applyFill="1" applyBorder="1" applyProtection="1">
      <protection hidden="1"/>
    </xf>
    <xf numFmtId="0" fontId="1" fillId="4" borderId="32" xfId="1" applyFill="1" applyBorder="1" applyAlignment="1" applyProtection="1">
      <alignment horizontal="center"/>
      <protection hidden="1"/>
    </xf>
    <xf numFmtId="0" fontId="1" fillId="4" borderId="7" xfId="1" applyFill="1" applyBorder="1" applyProtection="1">
      <protection hidden="1"/>
    </xf>
    <xf numFmtId="0" fontId="1" fillId="4" borderId="31" xfId="1" applyFill="1" applyBorder="1" applyProtection="1">
      <protection hidden="1"/>
    </xf>
    <xf numFmtId="2" fontId="1" fillId="4" borderId="32" xfId="1" applyNumberFormat="1" applyFill="1" applyBorder="1" applyAlignment="1" applyProtection="1">
      <alignment horizontal="right"/>
      <protection hidden="1"/>
    </xf>
    <xf numFmtId="0" fontId="1" fillId="2" borderId="68" xfId="1" quotePrefix="1" applyFill="1" applyBorder="1" applyAlignment="1" applyProtection="1">
      <alignment horizontal="center"/>
      <protection hidden="1"/>
    </xf>
    <xf numFmtId="0" fontId="2" fillId="2" borderId="69" xfId="1" applyFont="1" applyFill="1" applyBorder="1" applyProtection="1">
      <protection hidden="1"/>
    </xf>
    <xf numFmtId="0" fontId="1" fillId="2" borderId="73" xfId="1" applyFill="1" applyBorder="1" applyProtection="1">
      <protection hidden="1"/>
    </xf>
    <xf numFmtId="0" fontId="1" fillId="2" borderId="74" xfId="1" applyFill="1" applyBorder="1" applyProtection="1">
      <protection hidden="1"/>
    </xf>
    <xf numFmtId="2" fontId="1" fillId="2" borderId="68" xfId="1" applyNumberFormat="1" applyFill="1" applyBorder="1" applyProtection="1">
      <protection hidden="1"/>
    </xf>
    <xf numFmtId="2" fontId="1" fillId="0" borderId="68" xfId="1" applyNumberFormat="1" applyBorder="1" applyAlignment="1" applyProtection="1">
      <alignment horizontal="right"/>
      <protection hidden="1"/>
    </xf>
    <xf numFmtId="0" fontId="1" fillId="2" borderId="75" xfId="1" quotePrefix="1" applyFill="1" applyBorder="1" applyAlignment="1" applyProtection="1">
      <alignment horizontal="center"/>
      <protection hidden="1"/>
    </xf>
    <xf numFmtId="0" fontId="2" fillId="2" borderId="21" xfId="1" applyFont="1" applyFill="1" applyBorder="1" applyProtection="1">
      <protection hidden="1"/>
    </xf>
    <xf numFmtId="0" fontId="1" fillId="2" borderId="43" xfId="1" applyFill="1" applyBorder="1" applyProtection="1">
      <protection hidden="1"/>
    </xf>
    <xf numFmtId="0" fontId="1" fillId="2" borderId="75" xfId="1" applyFill="1" applyBorder="1" applyProtection="1">
      <protection hidden="1"/>
    </xf>
    <xf numFmtId="2" fontId="1" fillId="0" borderId="75" xfId="1" applyNumberFormat="1" applyBorder="1" applyAlignment="1" applyProtection="1">
      <alignment horizontal="right"/>
      <protection hidden="1"/>
    </xf>
    <xf numFmtId="0" fontId="1" fillId="2" borderId="75" xfId="1" applyFill="1" applyBorder="1" applyAlignment="1" applyProtection="1">
      <alignment horizontal="center"/>
      <protection hidden="1"/>
    </xf>
    <xf numFmtId="0" fontId="1" fillId="2" borderId="76" xfId="1" applyFill="1" applyBorder="1" applyAlignment="1" applyProtection="1">
      <alignment horizontal="center"/>
      <protection hidden="1"/>
    </xf>
    <xf numFmtId="0" fontId="1" fillId="2" borderId="22" xfId="1" applyFill="1" applyBorder="1" applyProtection="1">
      <protection hidden="1"/>
    </xf>
    <xf numFmtId="0" fontId="1" fillId="2" borderId="67" xfId="1" applyFill="1" applyBorder="1" applyProtection="1">
      <protection hidden="1"/>
    </xf>
    <xf numFmtId="0" fontId="1" fillId="2" borderId="76" xfId="1" applyFill="1" applyBorder="1" applyProtection="1">
      <protection hidden="1"/>
    </xf>
    <xf numFmtId="2" fontId="1" fillId="0" borderId="76" xfId="1" applyNumberFormat="1" applyBorder="1" applyAlignment="1" applyProtection="1">
      <alignment horizontal="right"/>
      <protection hidden="1"/>
    </xf>
    <xf numFmtId="2" fontId="1" fillId="0" borderId="0" xfId="1" applyNumberFormat="1" applyProtection="1">
      <protection hidden="1"/>
    </xf>
    <xf numFmtId="2" fontId="1" fillId="0" borderId="0" xfId="1" applyNumberFormat="1" applyAlignment="1" applyProtection="1">
      <alignment horizontal="center"/>
      <protection hidden="1"/>
    </xf>
    <xf numFmtId="2" fontId="2" fillId="4" borderId="7" xfId="1" applyNumberFormat="1" applyFont="1" applyFill="1" applyBorder="1" applyAlignment="1" applyProtection="1">
      <alignment horizontal="right"/>
      <protection hidden="1"/>
    </xf>
    <xf numFmtId="0" fontId="1" fillId="0" borderId="77" xfId="1" applyBorder="1"/>
    <xf numFmtId="0" fontId="1" fillId="0" borderId="35" xfId="1" applyBorder="1"/>
    <xf numFmtId="2" fontId="1" fillId="0" borderId="35" xfId="1" applyNumberFormat="1" applyBorder="1" applyAlignment="1">
      <alignment horizontal="right"/>
    </xf>
    <xf numFmtId="2" fontId="1" fillId="0" borderId="36" xfId="1" applyNumberFormat="1" applyBorder="1" applyAlignment="1" applyProtection="1">
      <alignment horizontal="center"/>
      <protection hidden="1"/>
    </xf>
    <xf numFmtId="0" fontId="1" fillId="0" borderId="32" xfId="1" applyBorder="1" applyAlignment="1" applyProtection="1">
      <alignment horizontal="center"/>
      <protection hidden="1"/>
    </xf>
    <xf numFmtId="2" fontId="1" fillId="0" borderId="7" xfId="1" applyNumberFormat="1" applyBorder="1" applyAlignment="1" applyProtection="1">
      <alignment horizontal="right"/>
      <protection hidden="1"/>
    </xf>
    <xf numFmtId="0" fontId="1" fillId="0" borderId="78" xfId="1" applyBorder="1" applyAlignment="1">
      <alignment horizontal="center"/>
    </xf>
    <xf numFmtId="0" fontId="1" fillId="0" borderId="0" xfId="1" applyAlignment="1">
      <alignment horizontal="center"/>
    </xf>
    <xf numFmtId="2" fontId="1" fillId="0" borderId="43" xfId="1" applyNumberFormat="1" applyBorder="1" applyAlignment="1">
      <alignment horizontal="center"/>
    </xf>
    <xf numFmtId="2" fontId="19" fillId="2" borderId="7" xfId="1" applyNumberFormat="1" applyFont="1" applyFill="1" applyBorder="1" applyAlignment="1" applyProtection="1">
      <alignment horizontal="right"/>
      <protection hidden="1"/>
    </xf>
    <xf numFmtId="3" fontId="1" fillId="0" borderId="43" xfId="1" applyNumberFormat="1" applyBorder="1" applyAlignment="1">
      <alignment horizontal="center"/>
    </xf>
    <xf numFmtId="0" fontId="1" fillId="0" borderId="79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3" fontId="1" fillId="0" borderId="67" xfId="1" applyNumberFormat="1" applyBorder="1" applyAlignment="1">
      <alignment horizontal="center"/>
    </xf>
    <xf numFmtId="0" fontId="1" fillId="0" borderId="80" xfId="1" applyBorder="1"/>
    <xf numFmtId="0" fontId="1" fillId="0" borderId="31" xfId="1" applyBorder="1"/>
    <xf numFmtId="0" fontId="1" fillId="0" borderId="8" xfId="1" applyBorder="1" applyAlignment="1">
      <alignment horizontal="center"/>
    </xf>
    <xf numFmtId="3" fontId="1" fillId="0" borderId="32" xfId="1" applyNumberFormat="1" applyBorder="1" applyAlignment="1">
      <alignment horizontal="center"/>
    </xf>
    <xf numFmtId="0" fontId="3" fillId="0" borderId="32" xfId="1" applyFont="1" applyBorder="1" applyAlignment="1" applyProtection="1">
      <alignment horizontal="left"/>
      <protection hidden="1"/>
    </xf>
    <xf numFmtId="0" fontId="3" fillId="0" borderId="32" xfId="1" applyFont="1" applyBorder="1" applyAlignment="1" applyProtection="1">
      <alignment horizontal="center"/>
      <protection hidden="1"/>
    </xf>
    <xf numFmtId="2" fontId="3" fillId="0" borderId="7" xfId="1" applyNumberFormat="1" applyFont="1" applyBorder="1" applyAlignment="1" applyProtection="1">
      <alignment horizontal="right"/>
      <protection hidden="1"/>
    </xf>
    <xf numFmtId="3" fontId="1" fillId="0" borderId="8" xfId="1" applyNumberFormat="1" applyBorder="1" applyAlignment="1">
      <alignment horizontal="center"/>
    </xf>
    <xf numFmtId="0" fontId="19" fillId="2" borderId="32" xfId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0" fontId="1" fillId="0" borderId="81" xfId="1" applyBorder="1"/>
    <xf numFmtId="0" fontId="1" fillId="0" borderId="82" xfId="1" applyBorder="1" applyAlignment="1">
      <alignment horizontal="left"/>
    </xf>
    <xf numFmtId="0" fontId="1" fillId="0" borderId="82" xfId="1" applyBorder="1"/>
    <xf numFmtId="2" fontId="1" fillId="0" borderId="83" xfId="1" applyNumberFormat="1" applyBorder="1" applyAlignment="1">
      <alignment horizontal="right"/>
    </xf>
    <xf numFmtId="0" fontId="1" fillId="0" borderId="48" xfId="1" applyBorder="1"/>
    <xf numFmtId="2" fontId="1" fillId="0" borderId="47" xfId="1" applyNumberFormat="1" applyBorder="1" applyAlignment="1">
      <alignment horizontal="right"/>
    </xf>
    <xf numFmtId="0" fontId="1" fillId="0" borderId="84" xfId="1" applyBorder="1"/>
    <xf numFmtId="0" fontId="1" fillId="0" borderId="85" xfId="1" applyBorder="1" applyAlignment="1">
      <alignment horizontal="left"/>
    </xf>
    <xf numFmtId="0" fontId="1" fillId="0" borderId="85" xfId="1" applyBorder="1"/>
    <xf numFmtId="2" fontId="1" fillId="0" borderId="86" xfId="1" applyNumberFormat="1" applyBorder="1" applyAlignment="1">
      <alignment horizontal="right"/>
    </xf>
    <xf numFmtId="2" fontId="1" fillId="0" borderId="0" xfId="1" applyNumberFormat="1" applyAlignment="1">
      <alignment horizontal="center"/>
    </xf>
    <xf numFmtId="0" fontId="1" fillId="0" borderId="83" xfId="1" applyBorder="1"/>
    <xf numFmtId="2" fontId="2" fillId="4" borderId="7" xfId="1" applyNumberFormat="1" applyFont="1" applyFill="1" applyBorder="1" applyAlignment="1" applyProtection="1">
      <alignment horizontal="center"/>
      <protection hidden="1"/>
    </xf>
    <xf numFmtId="0" fontId="1" fillId="0" borderId="47" xfId="1" applyBorder="1"/>
    <xf numFmtId="0" fontId="19" fillId="0" borderId="32" xfId="1" applyFont="1" applyBorder="1" applyAlignment="1" applyProtection="1">
      <alignment horizontal="center"/>
      <protection hidden="1"/>
    </xf>
    <xf numFmtId="2" fontId="19" fillId="0" borderId="7" xfId="1" applyNumberFormat="1" applyFont="1" applyBorder="1" applyAlignment="1" applyProtection="1">
      <alignment horizontal="center"/>
      <protection hidden="1"/>
    </xf>
    <xf numFmtId="0" fontId="1" fillId="0" borderId="86" xfId="1" applyBorder="1"/>
    <xf numFmtId="0" fontId="19" fillId="2" borderId="32" xfId="1" applyFont="1" applyFill="1" applyBorder="1" applyAlignment="1" applyProtection="1">
      <alignment horizontal="center"/>
      <protection hidden="1"/>
    </xf>
    <xf numFmtId="2" fontId="19" fillId="2" borderId="7" xfId="1" applyNumberFormat="1" applyFont="1" applyFill="1" applyBorder="1" applyAlignment="1" applyProtection="1">
      <alignment horizontal="center"/>
      <protection hidden="1"/>
    </xf>
    <xf numFmtId="1" fontId="1" fillId="0" borderId="0" xfId="1" applyNumberFormat="1"/>
    <xf numFmtId="0" fontId="19" fillId="0" borderId="32" xfId="1" applyFont="1" applyBorder="1" applyAlignment="1" applyProtection="1">
      <alignment horizontal="right"/>
      <protection hidden="1"/>
    </xf>
    <xf numFmtId="2" fontId="19" fillId="0" borderId="7" xfId="1" applyNumberFormat="1" applyFont="1" applyBorder="1" applyAlignment="1" applyProtection="1">
      <alignment horizontal="right"/>
      <protection hidden="1"/>
    </xf>
    <xf numFmtId="2" fontId="23" fillId="0" borderId="33" xfId="1" applyNumberFormat="1" applyFont="1" applyBorder="1" applyAlignment="1" applyProtection="1">
      <alignment horizontal="right" shrinkToFit="1"/>
      <protection hidden="1"/>
    </xf>
    <xf numFmtId="2" fontId="23" fillId="2" borderId="33" xfId="1" applyNumberFormat="1" applyFont="1" applyFill="1" applyBorder="1" applyAlignment="1" applyProtection="1">
      <alignment horizontal="right" shrinkToFit="1"/>
      <protection hidden="1"/>
    </xf>
    <xf numFmtId="2" fontId="24" fillId="2" borderId="32" xfId="1" applyNumberFormat="1" applyFont="1" applyFill="1" applyBorder="1" applyAlignment="1" applyProtection="1">
      <alignment horizontal="right" shrinkToFit="1"/>
      <protection hidden="1"/>
    </xf>
    <xf numFmtId="0" fontId="25" fillId="2" borderId="7" xfId="1" applyFont="1" applyFill="1" applyBorder="1" applyProtection="1">
      <protection hidden="1"/>
    </xf>
    <xf numFmtId="0" fontId="1" fillId="0" borderId="16" xfId="1" applyBorder="1" applyAlignment="1" applyProtection="1">
      <alignment horizontal="center"/>
      <protection hidden="1"/>
    </xf>
    <xf numFmtId="0" fontId="1" fillId="0" borderId="17" xfId="1" applyBorder="1" applyAlignment="1" applyProtection="1">
      <alignment horizontal="center"/>
      <protection hidden="1"/>
    </xf>
    <xf numFmtId="0" fontId="1" fillId="0" borderId="53" xfId="1" applyBorder="1" applyAlignment="1" applyProtection="1">
      <alignment horizontal="center"/>
      <protection hidden="1"/>
    </xf>
    <xf numFmtId="0" fontId="1" fillId="0" borderId="54" xfId="1" applyBorder="1" applyAlignment="1" applyProtection="1">
      <alignment horizontal="center"/>
      <protection hidden="1"/>
    </xf>
    <xf numFmtId="0" fontId="1" fillId="4" borderId="49" xfId="1" applyFill="1" applyBorder="1" applyAlignment="1" applyProtection="1">
      <alignment horizontal="center"/>
      <protection hidden="1"/>
    </xf>
    <xf numFmtId="0" fontId="1" fillId="4" borderId="50" xfId="1" applyFill="1" applyBorder="1" applyAlignment="1" applyProtection="1">
      <alignment horizontal="center"/>
      <protection hidden="1"/>
    </xf>
    <xf numFmtId="0" fontId="2" fillId="0" borderId="12" xfId="1" applyFont="1" applyBorder="1" applyAlignment="1" applyProtection="1">
      <alignment horizontal="center" shrinkToFit="1"/>
      <protection locked="0"/>
    </xf>
    <xf numFmtId="0" fontId="2" fillId="0" borderId="13" xfId="1" applyFont="1" applyBorder="1" applyAlignment="1" applyProtection="1">
      <alignment horizontal="center" shrinkToFit="1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center" shrinkToFit="1"/>
      <protection locked="0"/>
    </xf>
    <xf numFmtId="0" fontId="2" fillId="2" borderId="17" xfId="1" applyFont="1" applyFill="1" applyBorder="1" applyAlignment="1" applyProtection="1">
      <alignment horizontal="center" shrinkToFit="1"/>
      <protection locked="0"/>
    </xf>
    <xf numFmtId="0" fontId="2" fillId="2" borderId="16" xfId="1" applyFont="1" applyFill="1" applyBorder="1" applyAlignment="1" applyProtection="1">
      <alignment horizontal="center"/>
      <protection locked="0"/>
    </xf>
    <xf numFmtId="0" fontId="2" fillId="2" borderId="17" xfId="1" applyFont="1" applyFill="1" applyBorder="1" applyAlignment="1" applyProtection="1">
      <alignment horizontal="center"/>
      <protection locked="0"/>
    </xf>
    <xf numFmtId="0" fontId="1" fillId="4" borderId="34" xfId="1" applyFill="1" applyBorder="1" applyAlignment="1" applyProtection="1">
      <alignment horizontal="center"/>
      <protection hidden="1"/>
    </xf>
    <xf numFmtId="0" fontId="1" fillId="4" borderId="36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F44C8205-1C07-41F8-9F22-7290B1B54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352425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3CD21B-90CC-4CF1-9EED-E55390C6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6400" y="0"/>
          <a:ext cx="775758" cy="691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4</xdr:row>
      <xdr:rowOff>114300</xdr:rowOff>
    </xdr:from>
    <xdr:to>
      <xdr:col>3</xdr:col>
      <xdr:colOff>1085850</xdr:colOff>
      <xdr:row>10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537F1C6D-C70C-455D-9BCA-727484C79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65400" y="757767"/>
          <a:ext cx="1492249" cy="85090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a-IR" sz="1200" kern="10" spc="0">
              <a:ln w="9525">
                <a:round/>
                <a:headEnd/>
                <a:tailEnd/>
              </a:ln>
              <a:solidFill>
                <a:srgbClr val="000080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333375</xdr:colOff>
      <xdr:row>4</xdr:row>
      <xdr:rowOff>133350</xdr:rowOff>
    </xdr:from>
    <xdr:to>
      <xdr:col>3</xdr:col>
      <xdr:colOff>1076325</xdr:colOff>
      <xdr:row>10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1C8BC5FD-F9EE-40D9-B099-F75123FFD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55875" y="776817"/>
          <a:ext cx="1504949" cy="831850"/>
        </a:xfrm>
        <a:prstGeom prst="rect">
          <a:avLst/>
        </a:prstGeom>
      </xdr:spPr>
      <xdr:txBody>
        <a:bodyPr wrap="none" fromWordArt="1">
          <a:prstTxWarp prst="textTriangle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Arial"/>
              <a:cs typeface="Arial"/>
            </a:rPr>
            <a:t>Star Marine Services Ltd.</a:t>
          </a:r>
          <a:endParaRPr lang="fa-IR" sz="1200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C0C0C0"/>
              </a:outerShdw>
            </a:effectLst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73848-F26A-4967-932C-4EB022480E79}">
  <sheetPr>
    <tabColor rgb="FFFF0000"/>
  </sheetPr>
  <dimension ref="A1:H177"/>
  <sheetViews>
    <sheetView showGridLines="0" showZeros="0" tabSelected="1" view="pageLayout" topLeftCell="A13" workbookViewId="0">
      <selection activeCell="E24" sqref="E24"/>
    </sheetView>
  </sheetViews>
  <sheetFormatPr defaultColWidth="9.1171875" defaultRowHeight="14.35" x14ac:dyDescent="0.5"/>
  <cols>
    <col min="1" max="1" width="8.703125" customWidth="1"/>
    <col min="2" max="2" width="22.3515625" customWidth="1"/>
    <col min="3" max="3" width="16" customWidth="1"/>
    <col min="4" max="4" width="9.64453125" customWidth="1"/>
    <col min="5" max="5" width="16.3515625" customWidth="1"/>
    <col min="6" max="6" width="15.64453125" customWidth="1"/>
    <col min="7" max="7" width="15.234375" customWidth="1"/>
    <col min="10" max="10" width="10.1171875" bestFit="1" customWidth="1"/>
  </cols>
  <sheetData>
    <row r="1" spans="1:7" s="1" customFormat="1" ht="12.7" x14ac:dyDescent="0.4">
      <c r="G1" s="2"/>
    </row>
    <row r="2" spans="1:7" s="1" customFormat="1" ht="12.7" x14ac:dyDescent="0.4">
      <c r="G2" s="2"/>
    </row>
    <row r="3" spans="1:7" s="1" customFormat="1" ht="12.7" x14ac:dyDescent="0.4">
      <c r="G3" s="2"/>
    </row>
    <row r="4" spans="1:7" s="1" customFormat="1" ht="12.7" x14ac:dyDescent="0.4">
      <c r="G4" s="2"/>
    </row>
    <row r="5" spans="1:7" s="1" customFormat="1" ht="12.7" x14ac:dyDescent="0.4">
      <c r="G5" s="2"/>
    </row>
    <row r="6" spans="1:7" s="1" customFormat="1" ht="12.7" x14ac:dyDescent="0.4">
      <c r="G6" s="2"/>
    </row>
    <row r="7" spans="1:7" s="1" customFormat="1" ht="12.7" x14ac:dyDescent="0.4">
      <c r="G7" s="2"/>
    </row>
    <row r="8" spans="1:7" s="1" customFormat="1" ht="12.7" x14ac:dyDescent="0.4">
      <c r="G8" s="2"/>
    </row>
    <row r="9" spans="1:7" s="1" customFormat="1" ht="12.7" x14ac:dyDescent="0.4">
      <c r="G9" s="2"/>
    </row>
    <row r="10" spans="1:7" s="1" customFormat="1" ht="12.7" x14ac:dyDescent="0.4">
      <c r="G10" s="2"/>
    </row>
    <row r="11" spans="1:7" s="1" customFormat="1" ht="12.7" x14ac:dyDescent="0.4">
      <c r="G11" s="2"/>
    </row>
    <row r="12" spans="1:7" s="1" customFormat="1" ht="12.7" x14ac:dyDescent="0.4">
      <c r="G12" s="2"/>
    </row>
    <row r="13" spans="1:7" s="4" customFormat="1" ht="17.25" customHeight="1" x14ac:dyDescent="0.4">
      <c r="A13" s="3" t="s">
        <v>0</v>
      </c>
      <c r="C13" s="5"/>
      <c r="D13" s="6"/>
      <c r="E13" s="7" t="s">
        <v>1</v>
      </c>
      <c r="F13" s="8" t="s">
        <v>2</v>
      </c>
      <c r="G13" s="9"/>
    </row>
    <row r="14" spans="1:7" ht="14.7" thickBot="1" x14ac:dyDescent="0.55000000000000004">
      <c r="A14" s="10"/>
      <c r="B14" s="11"/>
      <c r="C14" s="10"/>
      <c r="D14" s="10"/>
      <c r="E14" s="10"/>
      <c r="F14" s="10"/>
      <c r="G14" s="12"/>
    </row>
    <row r="15" spans="1:7" s="19" customFormat="1" ht="13.35" thickTop="1" thickBot="1" x14ac:dyDescent="0.45">
      <c r="A15" s="13" t="s">
        <v>3</v>
      </c>
      <c r="B15" s="14" t="s">
        <v>2</v>
      </c>
      <c r="C15" s="15" t="s">
        <v>4</v>
      </c>
      <c r="D15" s="15"/>
      <c r="E15" s="16" t="s">
        <v>5</v>
      </c>
      <c r="F15" s="17"/>
      <c r="G15" s="18"/>
    </row>
    <row r="16" spans="1:7" s="25" customFormat="1" ht="12.7" x14ac:dyDescent="0.4">
      <c r="A16" s="20" t="s">
        <v>6</v>
      </c>
      <c r="B16" s="21" t="s">
        <v>7</v>
      </c>
      <c r="C16" s="22"/>
      <c r="D16" s="23"/>
      <c r="E16" s="270" t="s">
        <v>106</v>
      </c>
      <c r="F16" s="271"/>
      <c r="G16" s="24"/>
    </row>
    <row r="17" spans="1:7" s="25" customFormat="1" ht="14.25" customHeight="1" x14ac:dyDescent="0.4">
      <c r="A17" s="26" t="s">
        <v>8</v>
      </c>
      <c r="B17" s="27" t="s">
        <v>9</v>
      </c>
      <c r="C17" s="28"/>
      <c r="D17" s="28" t="s">
        <v>2</v>
      </c>
      <c r="E17" s="272" t="s">
        <v>123</v>
      </c>
      <c r="F17" s="273"/>
      <c r="G17" s="24"/>
    </row>
    <row r="18" spans="1:7" s="25" customFormat="1" ht="12.7" x14ac:dyDescent="0.4">
      <c r="A18" s="26" t="s">
        <v>10</v>
      </c>
      <c r="B18" s="27" t="s">
        <v>11</v>
      </c>
      <c r="C18" s="28"/>
      <c r="D18" s="28">
        <v>0</v>
      </c>
      <c r="E18" s="30">
        <v>0</v>
      </c>
      <c r="F18" s="29"/>
      <c r="G18" s="24"/>
    </row>
    <row r="19" spans="1:7" s="25" customFormat="1" ht="12.7" x14ac:dyDescent="0.4">
      <c r="A19" s="26" t="s">
        <v>12</v>
      </c>
      <c r="B19" s="27" t="s">
        <v>13</v>
      </c>
      <c r="C19" s="28"/>
      <c r="D19" s="28"/>
      <c r="E19" s="30">
        <v>0</v>
      </c>
      <c r="F19" s="29"/>
      <c r="G19" s="24"/>
    </row>
    <row r="20" spans="1:7" s="4" customFormat="1" ht="12.7" x14ac:dyDescent="0.4">
      <c r="A20" s="26" t="s">
        <v>14</v>
      </c>
      <c r="B20" s="31" t="s">
        <v>15</v>
      </c>
      <c r="C20" s="32"/>
      <c r="D20" s="33"/>
      <c r="E20" s="274"/>
      <c r="F20" s="275"/>
      <c r="G20" s="12"/>
    </row>
    <row r="21" spans="1:7" s="4" customFormat="1" ht="12.7" x14ac:dyDescent="0.4">
      <c r="A21" s="26" t="s">
        <v>16</v>
      </c>
      <c r="B21" s="34" t="s">
        <v>17</v>
      </c>
      <c r="C21" s="35"/>
      <c r="D21" s="36"/>
      <c r="E21" s="276">
        <v>0</v>
      </c>
      <c r="F21" s="277"/>
      <c r="G21" s="12" t="s">
        <v>2</v>
      </c>
    </row>
    <row r="22" spans="1:7" s="4" customFormat="1" ht="12.7" x14ac:dyDescent="0.4">
      <c r="A22" s="26" t="s">
        <v>18</v>
      </c>
      <c r="B22" s="34" t="s">
        <v>19</v>
      </c>
      <c r="C22" s="35"/>
      <c r="D22" s="36"/>
      <c r="E22" s="37">
        <v>0</v>
      </c>
      <c r="F22" s="38"/>
      <c r="G22" s="12"/>
    </row>
    <row r="23" spans="1:7" s="4" customFormat="1" ht="12.7" x14ac:dyDescent="0.4">
      <c r="A23" s="26" t="s">
        <v>20</v>
      </c>
      <c r="B23" s="39" t="s">
        <v>21</v>
      </c>
      <c r="C23" s="40"/>
      <c r="D23" s="41"/>
      <c r="E23" s="37">
        <v>0</v>
      </c>
      <c r="F23" s="42"/>
      <c r="G23" s="12"/>
    </row>
    <row r="24" spans="1:7" s="4" customFormat="1" ht="12.7" x14ac:dyDescent="0.4">
      <c r="A24" s="26" t="s">
        <v>22</v>
      </c>
      <c r="B24" s="34" t="s">
        <v>23</v>
      </c>
      <c r="C24" s="43"/>
      <c r="D24" s="36"/>
      <c r="E24" s="37"/>
      <c r="F24" s="44"/>
      <c r="G24" s="12"/>
    </row>
    <row r="25" spans="1:7" s="4" customFormat="1" ht="12.7" x14ac:dyDescent="0.4">
      <c r="A25" s="26" t="s">
        <v>24</v>
      </c>
      <c r="B25" s="34" t="s">
        <v>25</v>
      </c>
      <c r="C25" s="43"/>
      <c r="D25" s="36"/>
      <c r="E25" s="37"/>
      <c r="F25" s="44" t="s">
        <v>2</v>
      </c>
      <c r="G25" s="12"/>
    </row>
    <row r="26" spans="1:7" s="4" customFormat="1" ht="12.7" x14ac:dyDescent="0.4">
      <c r="A26" s="26" t="s">
        <v>26</v>
      </c>
      <c r="B26" s="34" t="s">
        <v>27</v>
      </c>
      <c r="C26" s="43"/>
      <c r="D26" s="43"/>
      <c r="E26" s="37">
        <v>0</v>
      </c>
      <c r="F26" s="45" t="s">
        <v>28</v>
      </c>
      <c r="G26" s="12"/>
    </row>
    <row r="27" spans="1:7" s="4" customFormat="1" ht="12.7" x14ac:dyDescent="0.4">
      <c r="A27" s="26" t="s">
        <v>29</v>
      </c>
      <c r="B27" s="34" t="s">
        <v>30</v>
      </c>
      <c r="C27" s="43"/>
      <c r="D27" s="43"/>
      <c r="E27" s="46">
        <v>0</v>
      </c>
      <c r="F27" s="45"/>
      <c r="G27" s="47"/>
    </row>
    <row r="28" spans="1:7" s="4" customFormat="1" ht="12.7" x14ac:dyDescent="0.4">
      <c r="A28" s="26" t="s">
        <v>31</v>
      </c>
      <c r="B28" s="34" t="s">
        <v>32</v>
      </c>
      <c r="C28" s="43"/>
      <c r="D28" s="43"/>
      <c r="E28" s="46">
        <v>0</v>
      </c>
      <c r="F28" s="45"/>
      <c r="G28" s="9"/>
    </row>
    <row r="29" spans="1:7" s="4" customFormat="1" ht="12.7" x14ac:dyDescent="0.4">
      <c r="A29" s="26" t="s">
        <v>33</v>
      </c>
      <c r="B29" s="48" t="s">
        <v>34</v>
      </c>
      <c r="C29" s="43"/>
      <c r="D29" s="43"/>
      <c r="E29" s="49">
        <v>0</v>
      </c>
      <c r="F29" s="45" t="s">
        <v>35</v>
      </c>
      <c r="G29" s="50"/>
    </row>
    <row r="30" spans="1:7" s="4" customFormat="1" ht="13" thickBot="1" x14ac:dyDescent="0.45">
      <c r="A30" s="26" t="s">
        <v>36</v>
      </c>
      <c r="B30" s="51" t="s">
        <v>37</v>
      </c>
      <c r="C30" s="52"/>
      <c r="D30" s="52"/>
      <c r="E30" s="53">
        <f>+E29*24</f>
        <v>0</v>
      </c>
      <c r="F30" s="54" t="s">
        <v>38</v>
      </c>
      <c r="G30" s="50"/>
    </row>
    <row r="31" spans="1:7" s="4" customFormat="1" ht="13" thickTop="1" x14ac:dyDescent="0.4">
      <c r="A31" s="55"/>
      <c r="B31" s="56"/>
      <c r="C31" s="55"/>
      <c r="D31" s="55"/>
      <c r="F31" s="47"/>
      <c r="G31" s="9"/>
    </row>
    <row r="32" spans="1:7" s="59" customFormat="1" ht="15.75" customHeight="1" thickBot="1" x14ac:dyDescent="0.55000000000000004">
      <c r="A32" s="57" t="s">
        <v>39</v>
      </c>
      <c r="B32" s="58" t="s">
        <v>40</v>
      </c>
      <c r="G32" s="60"/>
    </row>
    <row r="33" spans="1:8" s="68" customFormat="1" ht="15.75" customHeight="1" thickBot="1" x14ac:dyDescent="0.45">
      <c r="A33" s="61" t="s">
        <v>41</v>
      </c>
      <c r="B33" s="62" t="s">
        <v>42</v>
      </c>
      <c r="C33" s="63"/>
      <c r="D33" s="64"/>
      <c r="E33" s="65" t="s">
        <v>43</v>
      </c>
      <c r="F33" s="66" t="s">
        <v>44</v>
      </c>
      <c r="G33" s="67" t="s">
        <v>45</v>
      </c>
    </row>
    <row r="34" spans="1:8" s="1" customFormat="1" ht="15.75" customHeight="1" thickTop="1" thickBot="1" x14ac:dyDescent="0.45">
      <c r="A34" s="69" t="s">
        <v>46</v>
      </c>
      <c r="B34" s="70" t="s">
        <v>47</v>
      </c>
      <c r="C34" s="71"/>
      <c r="D34" s="72"/>
      <c r="E34" s="73" t="s">
        <v>48</v>
      </c>
      <c r="F34" s="74">
        <f>IF(AND($E$24=$A$65,E17=$G$67),0.0326,IF(AND($E$24=$A$64,OR($E$17=$G$71,$E$17=$G$73,$E$17=$G$74,$E$16=$E$65,$E$16=$E$67,$E$16=$E$69,$E$16=$E$70,$E$16=$E$71,AND(OR($E$17=$G$71,$E$17=$G$73,$E$17=$G$74),OR($E$16=$E$73,$E$16=$E$74)),$E$17=$G$67,$E$16=$E$76,$E$16=$E$78,$E$16=$E$79,$E$16=$E$80,$E$16=$E$85,$E$16=$E$82,$E$16=$E$83,$E$16=$E$88)),0.16,0.0192))</f>
        <v>1.9199999999999998E-2</v>
      </c>
      <c r="G34" s="75">
        <f>+$E$27*$F$34</f>
        <v>0</v>
      </c>
    </row>
    <row r="35" spans="1:8" s="1" customFormat="1" ht="15.75" customHeight="1" thickTop="1" thickBot="1" x14ac:dyDescent="0.45">
      <c r="A35" s="69" t="s">
        <v>49</v>
      </c>
      <c r="B35" s="70" t="s">
        <v>50</v>
      </c>
      <c r="C35" s="71"/>
      <c r="D35" s="72"/>
      <c r="E35" s="73" t="s">
        <v>48</v>
      </c>
      <c r="F35" s="76">
        <f>IF(OR($E$24=$A$65,AND($E$17=$G$67,OR($E$16=$E$73,$E$16=$E$74))),0.0814,IF(OR($E$16=$E$65,$E$16=$E$79,$E$16=$E$80,$E$16=$E$85),0.03,IF(AND(OR($E$16=$E$69,$E$16=$E$71,$E$16=$E$67,$E$16=$E$70,$E$16=$E$76,$E$16=$E$82,$E$16=$E$83,$E$17=$G$71,$E$16=$E$78,AND(OR($E$16=$E$64,$E$16=$E$66,$E$16=$E$68,$E$16=$E$72,$E$16=$E$77),OR($E$17=$G$71,$E$17=$G$73,$E$17=$G$74,$E$17=$G$67)),$E$17=$G$73,$E$17=$G$74,$E$16=$E$87,$E$16=$E$88,$E$16=$E$89)),0.04,IF(AND(OR($E$16=$E$73,$E$16=$E$74),$E$17=$G$67),0.0814,0.0383))))</f>
        <v>0.04</v>
      </c>
      <c r="G35" s="75">
        <f>$F$35*$E$27</f>
        <v>0</v>
      </c>
    </row>
    <row r="36" spans="1:8" s="1" customFormat="1" ht="15.75" customHeight="1" thickTop="1" thickBot="1" x14ac:dyDescent="0.45">
      <c r="A36" s="69" t="s">
        <v>51</v>
      </c>
      <c r="B36" s="70" t="s">
        <v>52</v>
      </c>
      <c r="C36" s="71"/>
      <c r="D36" s="72"/>
      <c r="E36" s="77" t="s">
        <v>53</v>
      </c>
      <c r="F36" s="74">
        <f>IF(AND($E$24=$A$65,AND($E$17=$G$67,OR($E$16=$E$73,$E$16=$E$74))),0.0271,IF(OR($E$16=$E$65,$E$16=$E$79,$E$16=$E$80,$E$16=$E$85),0.15,IF(AND(OR($E$16=$E$69,$E$16=$E$71,$E$16=$E$67,$E$16=$E$70,$E$16=$E$76,$E$16=$E$82,$E$16=$E$83,$E$17=$G$71,$E$16=$E$78,AND(OR($E$16=$E$64,$E$16=$E$66,$E$16=$E$68,$E$16=$E$72,$E$16=$E$77),OR($E$17=$G$71,$E$17=$G$73,$E$17=$G$74)),$E$17=$G$73,$E$17=$G$74,$E$16=$E$87,$E$16=$E$88,$E$16=$E$89)),0.24,IF($E$17=$G$67,IF(AND($E$24=$A$64,$E$17=$G$67),0.0542,0.0287),0.0319))))</f>
        <v>0.24</v>
      </c>
      <c r="G36" s="75">
        <f>IF($E$16=$E$82,"NOT APPLICABLE",$E$26*$F$36)</f>
        <v>0</v>
      </c>
    </row>
    <row r="37" spans="1:8" s="1" customFormat="1" ht="15.75" customHeight="1" thickTop="1" thickBot="1" x14ac:dyDescent="0.45">
      <c r="A37" s="69" t="s">
        <v>54</v>
      </c>
      <c r="B37" s="70" t="s">
        <v>55</v>
      </c>
      <c r="C37" s="71">
        <f>IF($E$16=$E$73,"CHARGES BY P.S.E.E.Z",IF(AND($E$16=$E$74,NOT($E$17=$G$67),NOT($E$17=$G$71)),"CHARGES BY N.P.C/T.T.P.C",IF($E$16=$E$76,"CHARGES BY BARCO",IF($E$16=$E$78," CHARGES BY K.S.C",IF($E$16=$E$88,"CHARGE BY FARASKOU",IF($E$16=$E$91,"CHARGES BY LNG PORT",IF($E$16=$E$90,"CHARGES BY PASIAN ",0)))))))</f>
        <v>0</v>
      </c>
      <c r="D37" s="72"/>
      <c r="E37" s="73" t="str">
        <f>IF($E$16=$E$84,"SAROOJ TARIFF","G.T./TARIFF")</f>
        <v>G.T./TARIFF</v>
      </c>
      <c r="F37" s="76">
        <f>IF(OR($E$16=$E$65,$E$16=$E$79,$E$16=$E$80,$E$16=$E$85),1,IF(AND(OR($E$17=$G$67,$E$17=$G$71,$E$17=$G$73,$E$17=$G$74),$E$24=$A$65),0,IF(AND(OR($E$16=$E$67,$E$16=$E$69,$E$16=$E$70,$E$16=$E$76,$E$16=$E$82,$E$16=$E$83,$E$16=$E$85,$E$17=$G$71,$E$16=$E$78,AND(OR($E$16=$E$64,$E$16=$E$66,$E$16=$E$68,$E$16=$E$72,$E$16=$E$77,AND($E$16=$E$73,OR($E$17=$G$71,$E$17=$G$73,$E$17=$G$74))),OR($E$17=$G$71,$E$17=$G$73,$E$17=$G$74,AND($E$17=$G$67,$E$24=$A$65))),$E$17=$G$73,$E$17=$G$74,$E$17=$G$67),$E$24=$A$64),0.41,IF($E$16=$E$84,"0.0890X G.T.+$83",IF(OR($E$17=$G$65,$E$17=$G$69,$E$17=$G$70,$E$17=$G$72),0.0865,0.199)))))</f>
        <v>0.19900000000000001</v>
      </c>
      <c r="G37" s="260" t="str">
        <f>IF($E$30=0,"",IF(OR(AND(OR($E$17=$G$67,$E$17=$G$71,$E$17=$G$73,$E$17=$G$74),$E$24=$A$65),$E$16=$E$69,$E$16=$E$70,$E$16=$E$81,$E$16=$E$87,$E$16=$E$89),"NOT APPLICABLE",IF($E$16=$E$84,SUM(0.089*$E$27,83),PRODUCT($E$27,F$37))))</f>
        <v/>
      </c>
    </row>
    <row r="38" spans="1:8" s="1" customFormat="1" ht="15.75" customHeight="1" thickTop="1" thickBot="1" x14ac:dyDescent="0.45">
      <c r="A38" s="69" t="s">
        <v>56</v>
      </c>
      <c r="B38" s="70" t="s">
        <v>57</v>
      </c>
      <c r="C38" s="71" t="s">
        <v>2</v>
      </c>
      <c r="D38" s="78" t="str">
        <f>IF($E$16=$E$71,"PMO CHARGES","")</f>
        <v/>
      </c>
      <c r="E38" s="73" t="str">
        <f>IF(OR($E$16=$E$69,$E$16=$E$70,$E$16=$E$71),"NRT/TARIFF","G.T./TARIFF")</f>
        <v>G.T./TARIFF</v>
      </c>
      <c r="F38" s="76" t="str">
        <f>IF(OR($E$16=$E$69,$E$16=$E$70,AND($E$17=$G$71,$E$24=$A$65,$E$16=$E$73),$E$16=$E$87,$E$16=$E$89),"HANDLE BY NIOC",IF(OR(AND($E$17=$G$67,$E$24=$A$65),AND(OR($E$16=$E$73,$E$16=$E$74),$E$24=$A$65)),0.345,IF(OR($E$16=$E$84,$E$16=$E$91),0.7,IF(OR($E$17=$G$71,$E$17=$G$73,$E$17=$G$74,$E$16=$E$65,$E$16=$E$76,$E$16=$E$67,$E$16=$E$79,$E$16=$E$80,$E$16=$E$82,$E$16=$E$83,$E$16=$E$85,$E$16=$E$71,AND($E$17=$G$67,OR(NOT($E$16=$E$73),NOT($E$16=$E$74))),$E$16=$E$78),"AS PER TARIFF",IF(OR(,AND($E$16=$E$73,$E$24=$A$65)),0.3834,IF(OR($E$17=$G$65,$E$17=$G$69,$E$17=$G$70,$E$17=$G$72),0.1917,0.3834))))))</f>
        <v>AS PER TARIFF</v>
      </c>
      <c r="G38" s="75">
        <f>IF($E$30=0,0,IF(OR($E$16=$E$69,$E$16=$E$70,AND($E$16=$E$73,$E$24=$A$65,$E$17=$G$71),$E$16=$E$87,$E$16=$E$89),"HANDEL BY NIOC",IF(OR($E$16=$E$65,$E$16=$E$79,$E$16=$E$80,$E$16=$E$85),LOOKUP($E$27,$E$163:$F$166,$G$163:$G$166),IF(E$16=$E$76,LOOKUP($E$27,$A$98:$B$104,$C$98:$C$104),IF(OR($E$16=$E$67,$E$16=$E$76,$E$16=$E$82,$E$16=$E$83,$E$16=$E$71,AND(OR($E$16=$E$64,$E$16=$E$66,$E$16=$E$68,$E$16=$E$72,$E$16=$E$77,AND($E$16=$E$73,NOT($E$24=$A$65)),$E$16=$E$74,$E$16=$E$84),OR($E$17=$G$71,$E$17=$G$73,$E$17=$G$74)),AND($E$17=$G$67,$E$24=$A$64,OR(NOT($E$16=$E$74),NOT($E$16=$E$73))),$E$16=$E$67,$E$16=$E$78),LOOKUP($E$27,$A$98:$B$104,$C$98:$C$104),IF($E$16=$E$81,"NOT APPLICABLE",$F$38*$E$27))))))</f>
        <v>0</v>
      </c>
    </row>
    <row r="39" spans="1:8" s="1" customFormat="1" ht="15.75" customHeight="1" thickTop="1" thickBot="1" x14ac:dyDescent="0.45">
      <c r="A39" s="69" t="s">
        <v>58</v>
      </c>
      <c r="B39" s="70" t="str">
        <f>IF($E$16=$E$71,"ESTIMATED PILOTAGE (2 OPS.)","PILOTAGE ( 2 OPS.)")</f>
        <v>PILOTAGE ( 2 OPS.)</v>
      </c>
      <c r="C39" s="71"/>
      <c r="D39" s="78" t="str">
        <f>IF($E$16=$E$71,"PMO CHARGES","")</f>
        <v/>
      </c>
      <c r="E39" s="73" t="str">
        <f>IF(OR($E$16=$E$69,$E$16=$E$70,$E$16=$E$72),"NRT/TARIFF","G.T./TARIFF")</f>
        <v>G.T./TARIFF</v>
      </c>
      <c r="F39" s="79">
        <f>IF(OR($E$16=$E$69,$E$16=$E$70,AND($E$16=$E$73,$E$24=$A$65,$E$17=$G$71),$E$16=$E$87,$E$16=$E$89),"CHARGE  BY NIOC",IF(OR($E$16=$E$65,$E$16=$E$79,$E$16=$E$80,$E$16=$E$85),0.25,IF(AND(OR($E$17=$G$71,$E$17=$G$73,$E$17=$G$74,$E$16=$E$67,$E$16=$E$71,$E$16=$E$76,$E$16=$E$78,$E$16=$E$82,$E$16=$E$83,$E$16=$E$87,AND($E$17=$G$67,NOT($E$16=$E$73),NOT($E$16=$E$74))),$E$24=$A$64),0.8,IF(AND($E$24=$A$65,$E$17=$G$67),0.7656,IF(AND(OR($E$16=$E$73,$E$16=$E$74,$E$16=$E$69,$E$16=$E$70,$E$16=$E$82,$E$16=$E$83),$E$17=$G$67,$E$24=$A$64),0.3828,IF(OR($E$17=$G$65,$E$17=$G$69,$E$17=$G$70,$E$17=$G$72),0.0958,0.1916))))))</f>
        <v>0.19159999999999999</v>
      </c>
      <c r="G39" s="75" t="str">
        <f>IF($E$30=0,"",IF(OR($E$16=$E$69,$E$16=$E$70,AND($E$16=$E$73,$E$24=$A$65,$E$17=$G$71),$E$16=$E$87,$E$16=$E$89),"HANDLE BY NIOC",IF($E$16=$E$81,"NOT APPLICABLE",$E$27*$F$39)))</f>
        <v/>
      </c>
    </row>
    <row r="40" spans="1:8" s="1" customFormat="1" ht="15.75" customHeight="1" thickTop="1" thickBot="1" x14ac:dyDescent="0.55000000000000004">
      <c r="A40" s="69" t="s">
        <v>59</v>
      </c>
      <c r="B40" s="80" t="s">
        <v>60</v>
      </c>
      <c r="C40" s="71"/>
      <c r="D40" s="78" t="str">
        <f>IF($E$16=$E$71,"PMO CHARGES","")</f>
        <v/>
      </c>
      <c r="E40" s="81" t="str">
        <f>IF(OR($E$16=$E$69,$E$16=$E$71,$E$16=$E$81,$E$16=$E$70),0,"APPROXIMATE")</f>
        <v>APPROXIMATE</v>
      </c>
      <c r="F40" s="79" t="str">
        <f>IF(OR($E$16=$E$69,$E$16=$E$81,$E$16=$E$70),0,"15% OF ITEM 7")</f>
        <v>15% OF ITEM 7</v>
      </c>
      <c r="G40" s="75" t="str">
        <f>IF($E$30=0,"",IF($F$40=0,0,IF(OR($E$16=$E$69,$E$16=$E$81,$E$16=$E$70,$F$40=0,AND($E$16=$E$73,$E$24=$A$65,$E$17=$G$71),$E$16=$E$87,$E$16=$E$81,$E$16=$E$89),"NOT APPLICABLE",$G$39*15%)))</f>
        <v/>
      </c>
    </row>
    <row r="41" spans="1:8" s="1" customFormat="1" ht="15.75" customHeight="1" thickTop="1" thickBot="1" x14ac:dyDescent="0.45">
      <c r="A41" s="69" t="s">
        <v>61</v>
      </c>
      <c r="B41" s="263" t="str">
        <f>IF(E16=E71,"MAHSHAHR CHANNEL DUES AND OVERTIME","EST. SHIP OVERTIME ON ACTIVE HOLDS")</f>
        <v>EST. SHIP OVERTIME ON ACTIVE HOLDS</v>
      </c>
      <c r="C41" s="71"/>
      <c r="D41" s="72">
        <f>IF($E$16=$E$90,"PARSIAN",0)</f>
        <v>0</v>
      </c>
      <c r="E41" s="77" t="str">
        <f>IF(OR($E$16=$E$73,$E$16=$E$74,$E$16=$E$76),"PER DAY",IF(OR($E$16=$E$67,$E$16=$E$69,$E$16=$E$70,$E$16=$E$71,$E$16=$E$82,$E$16=$E$83,$E$16=$E$78),"","HOUR P/HATCH"))</f>
        <v>HOUR P/HATCH</v>
      </c>
      <c r="F41" s="76" t="str">
        <f>IF(OR($E$16=$E$67,$E$16=$E$69,$E$16=$E$70,$E$16=$E$71, E$16=$E$82,$E$16=$E$83,,$E$16=$E$78,$E$16=$E$81,$E$16=$E$75,$E$16=$E$84),0,"USD:125XNO. OF HOLDXDAY")</f>
        <v>USD:125XNO. OF HOLDXDAY</v>
      </c>
      <c r="G41" s="262">
        <f>IF($E$30=0,0,IF(OR($E$16=$E$67,$E$16=$E$69,$E$16=$E$70,$E$16=$E$71,F$16=$E$82,$E$16=$E$83,$E$16=$E$87,$E$16=$E$78,$E$16=$E$81,$E$16=$E$75,$E$16=$E$84,$E$16=$E$89,$E$16=$E$91),"NOT APPLICABLE",125*$E$29*$E$18))</f>
        <v>0</v>
      </c>
    </row>
    <row r="42" spans="1:8" s="1" customFormat="1" ht="15.75" customHeight="1" thickTop="1" thickBot="1" x14ac:dyDescent="0.45">
      <c r="A42" s="69" t="s">
        <v>62</v>
      </c>
      <c r="B42" s="70" t="s">
        <v>63</v>
      </c>
      <c r="C42" s="71">
        <f>IF($E$16=$E$73,"CHARGES BY P.S.E.E.Z",IF($E$16=$E$76,"CHARGES BY BARCO",IF($E$16=$E$78," CHARGES BY K.S.C",IF(OR(AND($E$16=$E$74,NOT($E$17=$G$67),NOT($E$17=$G$71)),$E$16=$E$82),"CHARGES BY N.P.C/T.T.P.C",IF(AND(OR($E$16=$E$73,$E$16=$E$74),OR($E$17=$G$67,$E$17=$G$71)),"CHARGED BY NIOC",IF($E$16=$E$88,"CHARGE BY FARASKOU",IF(AND($E$16=$E$87,$E$17=$G$67,$E$24=$A$64),"CHARGES BY LAVAN OIL REFINERY",IF($E$16=$E$91,"CHARGE BY LNG PORT",IF($E$16=$E$90,"CHARGES BY PARSIAN",0)))))))))</f>
        <v>0</v>
      </c>
      <c r="D42" s="72"/>
      <c r="E42" s="77" t="str">
        <f>IF(OR($E$16=$E$69,$E$16=$E$70,$E$16=$E$78),0,IF(OR($E$16=$E$65,$E$16=$E$67,$E$16=$E$71,$E$16=$E$80,$E$16=$E$82,$E$16=$E$83,AND(OR($E$17=$G$67,$E$17=$G$71,$E$17=$G$73,$E$17=$G$74),$E$24=$A$64,NOT($E$16=$E$87)),AND(OR($E$16=$E$73,$E$16=$E$74),AND(NOT($E$17=$G$67),$E$24=$A$65)),AND($E$16=$E$87,NOT($E$17=$G$67)),$E$16=$E$92),"HOURS/G.T.",IF(AND(OR($E$16=$E$73,$E$16=$E$74),$E$24=$A$65,$E$17=$G$67),"G.T/TARIFF",IF($E$16=$E$76,"G.TXDAY",IF(AND($E$16=$E$87,$E$17=$G$67,$E$24=$A$64),"GT/TARIFF",IF($E$16=$E$84,"SAROOJ TARIFF","NORM DAY/G.T."))))))</f>
        <v>NORM DAY/G.T.</v>
      </c>
      <c r="F42" s="82">
        <f>IF(OR($E$16=$E$69,$E$16=$E$70,$E$24=$A$65),"NOT APPLICABLE",IF(OR($E$16=$E$67,$E$16=$E$71,$E$16=$E$82,$E$16=$E$83,AND(OR($E$17=$G$71,$E$17=$G$73,$E$17=$G$74,$E$25=$D$64),NOT($E$16=$E$87)),AND($E$17=$G$67,$E$24=$A$64,OR(NOT($E$16=$E$73),NOT($E$16=$E$74)),NOT($E$16=$E$87)),AND($E$16=$E$87,NOT($E$17=$G$67)),$E$16=$E$89),0.0045,IF(OR(AND(OR($E$16=$E$73,$E$16=$E$74),OR($E$17=$G$67,$E$17=$G$71,$E$17=$G$73,$E$17=$G$74),$E$24=$A$65)),0.18,IF($E$16=$E$75,IF(E27&lt;=9000,0.12,0.1),IF($E$16=$E$76,0.1,IF($E$16=$E$84,"SAROOJ TARIFF",IF(AND($E$16=$E$87,$E$17=$G$67,$E$24=$A$64),"LAVAN  TARIFF",IF(OR($E$16=$E$65,$E$16=$E$79,$E$16=$E$80,$E$16=$E$85),0.0005,"AS PER TARIFF/NORM"))))))))</f>
        <v>4.4999999999999997E-3</v>
      </c>
      <c r="G42" s="75">
        <f>IF(AND($E$16=$E$87,$E$17=$G$67,$E$24=$A$64),IF($E$27&lt;=3000,$E$27*1.33,SUM(3000*1.33,($E$27-3000)*1)),IF(OR($E$16=$E$69,$E$16=$E$70,$E$16=$E$81),"NOT APPLICABLE",IF(OR($E$16=$E$65,$E$16=$E$79,$E$16=$E$80,$E$16=$E$85),IF($E$30&lt;=24,0.0005*$E$27*24,SUM(0.0005*$E$27*24,SUM($E$30-24)*0.0045*$E$27)),IF($E$16=$E$76,$F$42*$E$27*$E$29,IF(OR($E$16=$E$67,$E$16=$E$71,$E$16=$E$82,$E$16=$E$83,AND(OR($E$17=$G$71,$E$17=$G$67,$E$17=$G$73,$E$17=$G$74)),AND($E$17=$G$67,$E$24=$A$64,OR(NOT($E$16=$E$73),NOT($E$16=$E$74))),$E$25=$D$64,$E$16=$E$87,$E$16=$E$89),$F$42*$E$30*$E$27,IF($E$16=$E$75,$F$42*$E$27*$E$29,IF($E$16=$E$84,IF($E$29&lt;=3,SUM(0.0445*$E$27,348),SUM(SUM(0.0445*$E$27*3,348),PRODUCT(SUM(PRODUCT($E$27,0.0445,$E$29-3),348),120%))),IF(OR(AND(OR($E$16=$E$73,$E$16=$E$74),OR($E$17=$G$67,$E$17=$G$71,$E$17=$G$73,$E$17=$G$74),$E$24=$A$65)),$F$42*$E$27,IF(OR($E$17=$G$65,$E$17=$G$69,$E$17=$G$70,$E$17=$G$72),IF($E$30&lt;=24,0.00067*$E$30*$E$27,SUM(0.00067*24*$E$27,PRODUCT($E$30-24,0.0028,$E$27))),IF($E$17=$G$64,IF($E$30&lt;=120,0.0002*$E$30*$E$27,SUM(0.0002*$E$27*120,($E$30-120)*0.0073*$E$27)),IF($E$30&lt;=72,0.00033*$E$27*$E$30,SUM(0.00033*$E$27*72,($E$30-72)*0.0073*$E$27))))))))))))</f>
        <v>0</v>
      </c>
    </row>
    <row r="43" spans="1:8" s="1" customFormat="1" ht="15.75" customHeight="1" thickTop="1" thickBot="1" x14ac:dyDescent="0.45">
      <c r="A43" s="69" t="s">
        <v>24</v>
      </c>
      <c r="B43" s="83" t="s">
        <v>64</v>
      </c>
      <c r="C43" s="71">
        <f>IF($E$16=$E$73,"CHARGES BY P.S.E.E.Z",IF(AND($E$16=$E$74,NOT($E$17=$G$67),NOT($E$17=$G$71)),"CHARGES BY N.P.C/T.T.P.C",IF($E$16=$E$76,"CHARGES BY BARCO",IF($E$16=$E$78," CHARGES BY K.S.C",IF(AND($E$16=$E$74,OR($E$17=$G$67,E17=$G$71)),"CHARGES BY NIOC",IF($E$16=$E$88,"CHARGE BY FARASKOU",IF($E$16=$E$91,"CHARGE BY LNG PORT",IF($E$16=$E$90,"CHARGES BY PARSIAN",0))))))))</f>
        <v>0</v>
      </c>
      <c r="D43" s="72"/>
      <c r="E43" s="84" t="str">
        <f>IF($E$16=$E$84,"SAROOJ TARIFF","G.T/DAY")</f>
        <v>G.T/DAY</v>
      </c>
      <c r="F43" s="82">
        <f>IF($E$27=0,0,IF($E$16=$E$76,0.03,IF($E$16=$E$84,"(GTX0.0445)+$70.00","TARIFF")))</f>
        <v>0</v>
      </c>
      <c r="G43" s="261">
        <f>IF($F$43=0,0,IF($E$16=$E$91,100*$E$29,IF($E$16=$E$76,$F$43*$E$27,IF($E$16=$E$84,SUM(0.0445*$E$27,70),IF(OR($E$16=$E$65,$E$16=$E$79,$E$16=$E$80,$E$16=$E$85),LOOKUP($E$27,$E$156:$F$158,$G$156:$G$158)*$E$29,IF($E$24=$A$65,PRODUCT($E$29*2,LOOKUP($E$27,$A$164:$B$169,$C$164:$C$169)),PRODUCT($E$29,LOOKUP($E$27,$A$164:$B$169,$C$164:$C$169))))))))</f>
        <v>0</v>
      </c>
    </row>
    <row r="44" spans="1:8" s="1" customFormat="1" ht="15.75" customHeight="1" thickTop="1" thickBot="1" x14ac:dyDescent="0.45">
      <c r="A44" s="69" t="s">
        <v>26</v>
      </c>
      <c r="B44" s="85" t="s">
        <v>65</v>
      </c>
      <c r="C44" s="86"/>
      <c r="D44" s="87"/>
      <c r="E44" s="88" t="s">
        <v>66</v>
      </c>
      <c r="F44" s="89">
        <f>IF(OR($E$16=$E$65,$E$16=$E$79,$E$16=$E$80,$E$16=$E$85),0.003,0.03)</f>
        <v>0.03</v>
      </c>
      <c r="G44" s="90">
        <f>+$F$44*E27</f>
        <v>0</v>
      </c>
    </row>
    <row r="45" spans="1:8" s="1" customFormat="1" ht="15.75" customHeight="1" thickTop="1" thickBot="1" x14ac:dyDescent="0.45">
      <c r="A45" s="69" t="s">
        <v>29</v>
      </c>
      <c r="B45" s="85" t="s">
        <v>67</v>
      </c>
      <c r="C45" s="86"/>
      <c r="D45" s="87"/>
      <c r="E45" s="88" t="s">
        <v>68</v>
      </c>
      <c r="F45" s="89"/>
      <c r="G45" s="90">
        <f>LOOKUP($E$27,$A$172:$B$177,$C$172:$C$177)*$E$23</f>
        <v>0</v>
      </c>
    </row>
    <row r="46" spans="1:8" s="1" customFormat="1" ht="15.75" customHeight="1" thickTop="1" thickBot="1" x14ac:dyDescent="0.45">
      <c r="A46" s="69" t="s">
        <v>31</v>
      </c>
      <c r="B46" s="91" t="str">
        <f>IF(OR($E$17=$G$73,$E$25=$D$73),"EST. TUG HIRE FOR 1 TIME TANK INSPECTION AT ANCHORAGE",IF($E$16=$E$71,"MOTOR BOAT HIRE AT BIK AND MAHSHAHR ",IF($E$16=$E$81,"KISH FREE ZONE SIDE WHARGAGE ",IF($E$16=$E$84,"COST PRIVATE PORT SECURITY",IF(OR($E$16=$E$87,$E$16=$E$89),"ESTIMATED MOORING GANG",IF($E$16=$E$88," OIL STAIN REMOVAL","OTHERS"))))))</f>
        <v>OTHERS</v>
      </c>
      <c r="C46" s="92"/>
      <c r="D46" s="93"/>
      <c r="E46" s="94">
        <f>IF($E$16=$E$81,"(10+DAYS)/GRT",IF($E$16=$E$84,"SAROOJ TARIFF",IF($E$16=$E$91,"G.T/ TARIFF",0)))</f>
        <v>0</v>
      </c>
      <c r="F46" s="76">
        <f>IF($E$16=$E$71,"CHARGE BY NIOC",IF($E$16=$E$81,IF($E$29&lt;=7,0.12,IF(AND($E$29&gt;7,$E$29&lt;=14),0.13,IF(AND($E$29&gt;15,$E$29&lt;=30),0.15,0.2))),IF($E$16=$E$84,"SAROOJ TARIFF",0)))</f>
        <v>0</v>
      </c>
      <c r="G46" s="95">
        <f>IF(OR($E$16=$E$87,$E$16=$E$89),1450,IF($E$16=$E$71,1598,IF($E$16=$E$84,IF($E$29&lt;=3,SUM(0.0445*$E$27,55),SUM(SUM(0.0445*$E$27*3,55),PRODUCT(($E$29-3)*0.0445*$E$27+69,120%))),IF(OR($E$17=$G$73,$E$25=$D$73),1000,IF($E$16=$E$81,PRODUCT(SUM(10,$E$29),$F$46,ROUND($E$27,-2)),IF($E$16=$E$88,500,0))))))</f>
        <v>0</v>
      </c>
    </row>
    <row r="47" spans="1:8" s="68" customFormat="1" ht="16" thickTop="1" thickBot="1" x14ac:dyDescent="0.55000000000000004">
      <c r="A47" s="96"/>
      <c r="B47" s="97" t="s">
        <v>69</v>
      </c>
      <c r="C47" s="98"/>
      <c r="D47" s="98"/>
      <c r="E47" s="98"/>
      <c r="F47" s="99"/>
      <c r="G47" s="100">
        <f>SUM(G34:G46)</f>
        <v>0</v>
      </c>
    </row>
    <row r="48" spans="1:8" s="68" customFormat="1" ht="16" thickTop="1" thickBot="1" x14ac:dyDescent="0.55000000000000004">
      <c r="A48" s="101"/>
      <c r="B48" s="68" t="s">
        <v>70</v>
      </c>
      <c r="C48" s="102" t="str">
        <f>IF(AND($E$20=$B$64,NOT($E$25=$D$64),$E$27&gt;=1500,OR($E$16=$E$65,$E$16=$E$67,$E$16=$E$70,$E$16=$E$68,$E$16=$E$78,$E$16=$E$76,$E$16=$E$80,$E$16=$E$82,$E$16=$E$83,$E$16=$E$79,$E$16=$E$84,$E$16=$E$85,$E$16=$E$87,$E$16=$E$88,$E$16=$E$89,$E$16=$E$90,$E$16=$E$91,$E$16=$E$71)),"25%, SUBJECT TO THE VESSEL ARRIVES EMPTY ","NOT APPLICABLE")</f>
        <v>NOT APPLICABLE</v>
      </c>
      <c r="F48" s="103" t="s">
        <v>2</v>
      </c>
      <c r="G48" s="104">
        <f>IF(AND($E$20=$B$64,NOT($E$25=$D$64),$E$27&gt;=1500,OR($E$16=$E$65,$E$16=$E$67,$E$16=$E$70,$E$16=$E$78,$E$16=$E$76,$E$16=$E$80,$E$16=$E$82,$E$16=$E$83,$E$16=$E$79,$E$16=$EI$85,$E$16=$E87,$E$16=$E$89,$E$16=$E$71)),$G$47*25%,0)</f>
        <v>0</v>
      </c>
      <c r="H48" s="105"/>
    </row>
    <row r="49" spans="1:8" s="68" customFormat="1" ht="16" thickTop="1" thickBot="1" x14ac:dyDescent="0.55000000000000004">
      <c r="A49" s="106" t="s">
        <v>39</v>
      </c>
      <c r="B49" s="107" t="s">
        <v>71</v>
      </c>
      <c r="C49" s="108"/>
      <c r="D49" s="108"/>
      <c r="E49" s="108"/>
      <c r="F49" s="109"/>
      <c r="G49" s="110">
        <f>+G47-G48</f>
        <v>0</v>
      </c>
      <c r="H49" s="105"/>
    </row>
    <row r="50" spans="1:8" s="68" customFormat="1" ht="16" thickTop="1" thickBot="1" x14ac:dyDescent="0.55000000000000004">
      <c r="A50" s="106" t="s">
        <v>72</v>
      </c>
      <c r="B50" s="107" t="s">
        <v>73</v>
      </c>
      <c r="C50" s="108"/>
      <c r="D50" s="108"/>
      <c r="E50" s="108"/>
      <c r="F50" s="109"/>
      <c r="G50" s="110">
        <f>+$G$49*9%</f>
        <v>0</v>
      </c>
      <c r="H50" s="105"/>
    </row>
    <row r="51" spans="1:8" s="68" customFormat="1" ht="16" thickTop="1" thickBot="1" x14ac:dyDescent="0.55000000000000004">
      <c r="A51" s="111" t="s">
        <v>74</v>
      </c>
      <c r="B51" s="112" t="s">
        <v>75</v>
      </c>
      <c r="C51" s="113"/>
      <c r="D51" s="113"/>
      <c r="E51" s="114" t="s">
        <v>76</v>
      </c>
      <c r="F51" s="115"/>
      <c r="G51" s="116">
        <f>IF($E$27=0,0,IF($E$16=$E$81,IF($E$27&lt;=500,"NOT APPLICABLE",82),IF(OR($E$17=$G$70,$E$17=$G$72,$E$17=$G$73),LOOKUP($E$27,$E$108:$F$119,$G$108:$G$119),LOOKUP($E$27,$B$108:$C$117,$D$108:$D$117))))</f>
        <v>0</v>
      </c>
      <c r="H51" s="105"/>
    </row>
    <row r="52" spans="1:8" s="118" customFormat="1" ht="18.75" customHeight="1" thickTop="1" thickBot="1" x14ac:dyDescent="0.55000000000000004">
      <c r="A52" s="111" t="s">
        <v>77</v>
      </c>
      <c r="B52" s="112" t="s">
        <v>78</v>
      </c>
      <c r="C52" s="113"/>
      <c r="D52" s="113"/>
      <c r="E52" s="117" t="str">
        <f>IF(OR($E$16=$E$73,$E$16=$E$74,$E$16=$E$88,$E$16=$E$67,$E$16=$E$68,$E$16=$E$81,$E$16=$E$85,$E$18=$E$93),"",IF(OR($E$16=$E$70,$E$16=$E$71)," APROAX USD:187.50 PER DAY",IF($E$16=$E$75,"APPROAX USD:90.00 PER DAY",IF($E$16=$E$87,"APPROAX USD: 300.00 PER DAY","APPROAX USD:50.00 PER DAY"))))</f>
        <v/>
      </c>
      <c r="F52" s="115"/>
      <c r="G52" s="116">
        <f>IF(OR($E$16=$E$73,$E$16=$E$74,$E$16=$E$88),185,IF($E$27=0,0,IF(OR($E$16=$E$68,$E$16=$E$69),$E$29*187.5,IF(OR($E$16=$E$79,$E$16=$E$82,$E$16=$E$85,$E$16=$E$83,$E$16=$E$80),"NOT APPLICABLE",IF($E$16=$E$87,300*$E$29,IF($E$16=$E$75,$E$29*90,$E$29*50))))))</f>
        <v>0</v>
      </c>
    </row>
    <row r="53" spans="1:8" s="118" customFormat="1" ht="18.75" customHeight="1" thickTop="1" thickBot="1" x14ac:dyDescent="0.55000000000000004">
      <c r="A53" s="111" t="s">
        <v>79</v>
      </c>
      <c r="B53" s="119" t="str">
        <f>IF($E$16=$E$71,"EST. TUG CHRGES BY NIOC","N.I.O.C. CHARGES TOWARD TUG AND PILOTAGE")</f>
        <v>N.I.O.C. CHARGES TOWARD TUG AND PILOTAGE</v>
      </c>
      <c r="C53" s="113"/>
      <c r="D53" s="113"/>
      <c r="E53" s="117" t="str">
        <f>IF(NOT(OR($E$16=$E$68,$E$16=$E$69,$E$16=$E$70,$E$16=$E$87)),"","AS PER TARIFF/NRT BASIS")</f>
        <v/>
      </c>
      <c r="F53" s="115"/>
      <c r="G53" s="116">
        <f>IF($E$16=$E$71,11374,IF($E$27=0,0,IF(OR($E$16=$E$69,AND($E$17=$G$71,$E$24=$A$65),$E$16=$E$70,$E$16=$E$87),IF($E$28&lt;=20000,SUM($F$126,$F$128),SUM($F$126,$F$128,SUM(ROUND($E$28,-3),-20000)/100*$F$130)),IF(OR($E$16=$E$70),IF($E$28&lt;=20000,SUM($G$126,$G$128),SUM($G$126,$G$128,SUM(ROUND($E$28,-3)-20000)/100*$G$130)),"NOT APPLICABLE"))))</f>
        <v>0</v>
      </c>
    </row>
    <row r="54" spans="1:8" s="118" customFormat="1" ht="17.25" customHeight="1" thickTop="1" thickBot="1" x14ac:dyDescent="0.55000000000000004">
      <c r="A54" s="111" t="s">
        <v>80</v>
      </c>
      <c r="B54" s="112" t="s">
        <v>81</v>
      </c>
      <c r="C54" s="113"/>
      <c r="D54" s="113"/>
      <c r="E54" s="117" t="str">
        <f>IF(NOT(OR($E$16=$E$68,$E$16=$E$69,$E$16=$E$70)),"","AS PER TARIFF/NRT BASIS")</f>
        <v/>
      </c>
      <c r="F54" s="115"/>
      <c r="G54" s="116">
        <f>IF($G$53="NOT APPLICABLE","NOT APPLICABLE",$G$53*9%)</f>
        <v>0</v>
      </c>
    </row>
    <row r="55" spans="1:8" s="122" customFormat="1" ht="17.25" customHeight="1" thickTop="1" thickBot="1" x14ac:dyDescent="0.55000000000000004">
      <c r="A55" s="120"/>
      <c r="B55" s="121" t="s">
        <v>82</v>
      </c>
      <c r="G55" s="116">
        <f>SUM(G49:G54)</f>
        <v>0</v>
      </c>
    </row>
    <row r="56" spans="1:8" s="125" customFormat="1" ht="15.75" customHeight="1" thickTop="1" x14ac:dyDescent="0.5">
      <c r="A56" s="123"/>
      <c r="B56" s="124"/>
      <c r="G56" s="126"/>
    </row>
    <row r="57" spans="1:8" s="125" customFormat="1" ht="15.75" customHeight="1" x14ac:dyDescent="0.5">
      <c r="B57" s="124"/>
      <c r="G57" s="126"/>
    </row>
    <row r="58" spans="1:8" s="125" customFormat="1" ht="15.75" hidden="1" customHeight="1" x14ac:dyDescent="0.5">
      <c r="B58" s="124"/>
      <c r="G58" s="126"/>
    </row>
    <row r="59" spans="1:8" s="122" customFormat="1" ht="12.75" hidden="1" customHeight="1" x14ac:dyDescent="0.4">
      <c r="B59" s="127"/>
      <c r="G59" s="128"/>
    </row>
    <row r="60" spans="1:8" s="1" customFormat="1" ht="12.75" hidden="1" customHeight="1" x14ac:dyDescent="0.4">
      <c r="B60" s="68" t="s">
        <v>83</v>
      </c>
      <c r="G60" s="2"/>
    </row>
    <row r="61" spans="1:8" s="1" customFormat="1" ht="13.5" hidden="1" customHeight="1" thickBot="1" x14ac:dyDescent="0.45">
      <c r="A61" s="1" t="s">
        <v>2</v>
      </c>
      <c r="G61" s="2"/>
    </row>
    <row r="62" spans="1:8" s="133" customFormat="1" ht="13.5" hidden="1" customHeight="1" thickTop="1" x14ac:dyDescent="0.4">
      <c r="A62" s="129"/>
      <c r="B62" s="129"/>
      <c r="C62" s="130" t="s">
        <v>84</v>
      </c>
      <c r="D62" s="131"/>
      <c r="E62" s="278" t="s">
        <v>2</v>
      </c>
      <c r="F62" s="279"/>
      <c r="G62" s="132" t="s">
        <v>85</v>
      </c>
    </row>
    <row r="63" spans="1:8" s="133" customFormat="1" ht="13.5" hidden="1" customHeight="1" thickBot="1" x14ac:dyDescent="0.45">
      <c r="A63" s="134" t="s">
        <v>86</v>
      </c>
      <c r="B63" s="134" t="s">
        <v>87</v>
      </c>
      <c r="C63" s="135" t="s">
        <v>88</v>
      </c>
      <c r="D63" s="136" t="s">
        <v>89</v>
      </c>
      <c r="E63" s="268" t="s">
        <v>7</v>
      </c>
      <c r="F63" s="269"/>
      <c r="G63" s="137" t="s">
        <v>90</v>
      </c>
    </row>
    <row r="64" spans="1:8" s="1" customFormat="1" ht="12.75" hidden="1" customHeight="1" x14ac:dyDescent="0.4">
      <c r="A64" s="138" t="s">
        <v>91</v>
      </c>
      <c r="B64" s="138" t="s">
        <v>92</v>
      </c>
      <c r="C64" s="139" t="s">
        <v>93</v>
      </c>
      <c r="D64" s="140" t="s">
        <v>94</v>
      </c>
      <c r="E64" s="266" t="s">
        <v>95</v>
      </c>
      <c r="F64" s="267"/>
      <c r="G64" s="141" t="s">
        <v>96</v>
      </c>
    </row>
    <row r="65" spans="1:7" s="1" customFormat="1" ht="12.75" hidden="1" customHeight="1" x14ac:dyDescent="0.4">
      <c r="A65" s="142" t="s">
        <v>97</v>
      </c>
      <c r="B65" s="142" t="s">
        <v>98</v>
      </c>
      <c r="C65" s="143" t="s">
        <v>99</v>
      </c>
      <c r="D65" s="144" t="s">
        <v>100</v>
      </c>
      <c r="E65" s="264" t="s">
        <v>101</v>
      </c>
      <c r="F65" s="265"/>
      <c r="G65" s="141" t="s">
        <v>102</v>
      </c>
    </row>
    <row r="66" spans="1:7" s="1" customFormat="1" ht="12.75" hidden="1" customHeight="1" x14ac:dyDescent="0.4">
      <c r="A66" s="142"/>
      <c r="B66" s="142" t="s">
        <v>103</v>
      </c>
      <c r="C66" s="143" t="s">
        <v>104</v>
      </c>
      <c r="D66" s="144" t="s">
        <v>105</v>
      </c>
      <c r="E66" s="264" t="s">
        <v>106</v>
      </c>
      <c r="F66" s="265"/>
      <c r="G66" s="141" t="s">
        <v>107</v>
      </c>
    </row>
    <row r="67" spans="1:7" s="1" customFormat="1" ht="12.75" hidden="1" customHeight="1" x14ac:dyDescent="0.4">
      <c r="A67" s="142"/>
      <c r="B67" s="142" t="s">
        <v>2</v>
      </c>
      <c r="C67" s="143" t="s">
        <v>108</v>
      </c>
      <c r="D67" s="144" t="s">
        <v>109</v>
      </c>
      <c r="E67" s="264" t="s">
        <v>110</v>
      </c>
      <c r="F67" s="265"/>
      <c r="G67" s="141" t="s">
        <v>111</v>
      </c>
    </row>
    <row r="68" spans="1:7" s="1" customFormat="1" ht="12.75" hidden="1" customHeight="1" x14ac:dyDescent="0.4">
      <c r="A68" s="146"/>
      <c r="B68" s="147"/>
      <c r="C68" s="148">
        <v>0</v>
      </c>
      <c r="D68" s="149" t="s">
        <v>112</v>
      </c>
      <c r="E68" s="264" t="s">
        <v>113</v>
      </c>
      <c r="F68" s="265"/>
      <c r="G68" s="141" t="s">
        <v>114</v>
      </c>
    </row>
    <row r="69" spans="1:7" s="1" customFormat="1" ht="12.75" hidden="1" customHeight="1" x14ac:dyDescent="0.4">
      <c r="A69" s="146"/>
      <c r="B69" s="147"/>
      <c r="C69" s="148"/>
      <c r="D69" s="149" t="s">
        <v>115</v>
      </c>
      <c r="E69" s="264" t="s">
        <v>116</v>
      </c>
      <c r="F69" s="265"/>
      <c r="G69" s="141" t="s">
        <v>117</v>
      </c>
    </row>
    <row r="70" spans="1:7" s="1" customFormat="1" ht="12.75" hidden="1" customHeight="1" x14ac:dyDescent="0.4">
      <c r="A70" s="146"/>
      <c r="B70" s="147"/>
      <c r="C70" s="148"/>
      <c r="D70" s="149" t="s">
        <v>118</v>
      </c>
      <c r="E70" s="264" t="s">
        <v>119</v>
      </c>
      <c r="F70" s="265"/>
      <c r="G70" s="141" t="s">
        <v>120</v>
      </c>
    </row>
    <row r="71" spans="1:7" s="1" customFormat="1" ht="12.75" hidden="1" customHeight="1" x14ac:dyDescent="0.4">
      <c r="A71" s="146"/>
      <c r="B71" s="147"/>
      <c r="C71" s="148"/>
      <c r="D71" s="149" t="s">
        <v>121</v>
      </c>
      <c r="E71" s="264" t="s">
        <v>122</v>
      </c>
      <c r="F71" s="265"/>
      <c r="G71" s="141" t="s">
        <v>123</v>
      </c>
    </row>
    <row r="72" spans="1:7" s="1" customFormat="1" ht="12.75" hidden="1" customHeight="1" x14ac:dyDescent="0.4">
      <c r="A72" s="146"/>
      <c r="B72" s="147"/>
      <c r="C72" s="148"/>
      <c r="D72" s="149" t="s">
        <v>124</v>
      </c>
      <c r="E72" s="264" t="s">
        <v>125</v>
      </c>
      <c r="F72" s="265"/>
      <c r="G72" s="141" t="s">
        <v>126</v>
      </c>
    </row>
    <row r="73" spans="1:7" s="1" customFormat="1" ht="12.75" hidden="1" customHeight="1" x14ac:dyDescent="0.4">
      <c r="A73" s="146"/>
      <c r="B73" s="147"/>
      <c r="C73" s="148"/>
      <c r="D73" s="150" t="s">
        <v>127</v>
      </c>
      <c r="E73" s="151" t="s">
        <v>128</v>
      </c>
      <c r="F73" s="145"/>
      <c r="G73" s="141" t="s">
        <v>129</v>
      </c>
    </row>
    <row r="74" spans="1:7" s="1" customFormat="1" ht="12.75" hidden="1" customHeight="1" x14ac:dyDescent="0.4">
      <c r="A74" s="146"/>
      <c r="B74" s="147"/>
      <c r="C74" s="148"/>
      <c r="D74" s="149" t="s">
        <v>130</v>
      </c>
      <c r="E74" s="151" t="s">
        <v>131</v>
      </c>
      <c r="F74" s="145"/>
      <c r="G74" s="152" t="s">
        <v>132</v>
      </c>
    </row>
    <row r="75" spans="1:7" s="1" customFormat="1" ht="12.75" hidden="1" customHeight="1" x14ac:dyDescent="0.4">
      <c r="A75" s="146"/>
      <c r="B75" s="147"/>
      <c r="C75" s="148"/>
      <c r="D75" s="149" t="s">
        <v>107</v>
      </c>
      <c r="E75" s="151" t="s">
        <v>133</v>
      </c>
      <c r="F75" s="145"/>
      <c r="G75" s="152" t="s">
        <v>134</v>
      </c>
    </row>
    <row r="76" spans="1:7" s="1" customFormat="1" ht="12.75" hidden="1" customHeight="1" x14ac:dyDescent="0.4">
      <c r="A76" s="146"/>
      <c r="B76" s="147"/>
      <c r="C76" s="148"/>
      <c r="D76" s="149" t="s">
        <v>135</v>
      </c>
      <c r="E76" s="151" t="s">
        <v>136</v>
      </c>
      <c r="F76" s="145"/>
      <c r="G76" s="152"/>
    </row>
    <row r="77" spans="1:7" s="1" customFormat="1" ht="12.75" hidden="1" customHeight="1" x14ac:dyDescent="0.4">
      <c r="A77" s="146"/>
      <c r="B77" s="147"/>
      <c r="C77" s="148"/>
      <c r="D77" s="149" t="s">
        <v>137</v>
      </c>
      <c r="E77" s="151" t="s">
        <v>138</v>
      </c>
      <c r="F77" s="145"/>
      <c r="G77" s="152"/>
    </row>
    <row r="78" spans="1:7" s="1" customFormat="1" ht="12.75" hidden="1" customHeight="1" x14ac:dyDescent="0.4">
      <c r="A78" s="146"/>
      <c r="B78" s="147"/>
      <c r="C78" s="148"/>
      <c r="D78" s="150" t="s">
        <v>139</v>
      </c>
      <c r="E78" s="153" t="s">
        <v>140</v>
      </c>
      <c r="F78" s="154"/>
      <c r="G78" s="152"/>
    </row>
    <row r="79" spans="1:7" s="1" customFormat="1" ht="12.75" hidden="1" customHeight="1" x14ac:dyDescent="0.4">
      <c r="A79" s="146"/>
      <c r="B79" s="147"/>
      <c r="C79" s="148"/>
      <c r="D79" s="150" t="s">
        <v>141</v>
      </c>
      <c r="E79" s="153" t="s">
        <v>142</v>
      </c>
      <c r="F79" s="154"/>
      <c r="G79" s="152"/>
    </row>
    <row r="80" spans="1:7" s="1" customFormat="1" ht="12.75" hidden="1" customHeight="1" x14ac:dyDescent="0.4">
      <c r="A80" s="146"/>
      <c r="B80" s="147"/>
      <c r="C80" s="148"/>
      <c r="D80" s="149" t="s">
        <v>143</v>
      </c>
      <c r="E80" s="153" t="s">
        <v>144</v>
      </c>
      <c r="F80" s="154"/>
      <c r="G80" s="152"/>
    </row>
    <row r="81" spans="1:7" s="1" customFormat="1" ht="12.75" hidden="1" customHeight="1" x14ac:dyDescent="0.4">
      <c r="A81" s="146"/>
      <c r="B81" s="147"/>
      <c r="C81" s="148"/>
      <c r="D81" s="150"/>
      <c r="E81" s="153" t="s">
        <v>145</v>
      </c>
      <c r="F81" s="154"/>
      <c r="G81" s="152"/>
    </row>
    <row r="82" spans="1:7" s="1" customFormat="1" ht="12.75" hidden="1" customHeight="1" x14ac:dyDescent="0.4">
      <c r="A82" s="146"/>
      <c r="B82" s="147"/>
      <c r="C82" s="148"/>
      <c r="D82" s="150"/>
      <c r="E82" s="153" t="s">
        <v>146</v>
      </c>
      <c r="F82" s="154"/>
      <c r="G82" s="152"/>
    </row>
    <row r="83" spans="1:7" s="1" customFormat="1" ht="12.75" hidden="1" customHeight="1" x14ac:dyDescent="0.4">
      <c r="A83" s="146"/>
      <c r="B83" s="147"/>
      <c r="C83" s="148"/>
      <c r="D83" s="150"/>
      <c r="E83" s="153" t="s">
        <v>147</v>
      </c>
      <c r="F83" s="154"/>
      <c r="G83" s="152"/>
    </row>
    <row r="84" spans="1:7" s="1" customFormat="1" ht="12.75" hidden="1" customHeight="1" x14ac:dyDescent="0.4">
      <c r="A84" s="146"/>
      <c r="B84" s="147"/>
      <c r="C84" s="148"/>
      <c r="D84" s="150"/>
      <c r="E84" s="153" t="s">
        <v>148</v>
      </c>
      <c r="F84" s="154"/>
      <c r="G84" s="152"/>
    </row>
    <row r="85" spans="1:7" s="1" customFormat="1" ht="12.75" hidden="1" customHeight="1" x14ac:dyDescent="0.4">
      <c r="A85" s="146"/>
      <c r="B85" s="147"/>
      <c r="C85" s="148"/>
      <c r="D85" s="150"/>
      <c r="E85" s="153" t="s">
        <v>149</v>
      </c>
      <c r="F85" s="154"/>
      <c r="G85" s="152"/>
    </row>
    <row r="86" spans="1:7" s="1" customFormat="1" ht="12.75" hidden="1" customHeight="1" x14ac:dyDescent="0.4">
      <c r="A86" s="146"/>
      <c r="B86" s="147"/>
      <c r="C86" s="148"/>
      <c r="D86" s="150"/>
      <c r="E86" s="153" t="s">
        <v>150</v>
      </c>
      <c r="F86" s="154"/>
      <c r="G86" s="152"/>
    </row>
    <row r="87" spans="1:7" s="1" customFormat="1" ht="12.75" hidden="1" customHeight="1" x14ac:dyDescent="0.4">
      <c r="A87" s="146"/>
      <c r="B87" s="147"/>
      <c r="C87" s="148"/>
      <c r="D87" s="150"/>
      <c r="E87" s="153" t="s">
        <v>151</v>
      </c>
      <c r="F87" s="154"/>
      <c r="G87" s="152"/>
    </row>
    <row r="88" spans="1:7" s="1" customFormat="1" ht="12.6" hidden="1" customHeight="1" x14ac:dyDescent="0.4">
      <c r="A88" s="146"/>
      <c r="B88" s="147"/>
      <c r="C88" s="148"/>
      <c r="D88" s="150"/>
      <c r="E88" s="153" t="s">
        <v>152</v>
      </c>
      <c r="F88" s="154"/>
      <c r="G88" s="152"/>
    </row>
    <row r="89" spans="1:7" s="1" customFormat="1" ht="13" hidden="1" thickBot="1" x14ac:dyDescent="0.45">
      <c r="A89" s="146"/>
      <c r="B89" s="155"/>
      <c r="C89" s="156"/>
      <c r="D89" s="150"/>
      <c r="E89" s="157" t="s">
        <v>153</v>
      </c>
      <c r="F89" s="154"/>
      <c r="G89" s="152"/>
    </row>
    <row r="90" spans="1:7" s="1" customFormat="1" ht="12.6" hidden="1" customHeight="1" thickTop="1" x14ac:dyDescent="0.4">
      <c r="A90" s="146"/>
      <c r="B90" s="155"/>
      <c r="C90" s="156"/>
      <c r="D90" s="150"/>
      <c r="E90" s="153" t="s">
        <v>154</v>
      </c>
      <c r="F90" s="154"/>
      <c r="G90" s="152"/>
    </row>
    <row r="91" spans="1:7" s="1" customFormat="1" ht="12.6" hidden="1" customHeight="1" x14ac:dyDescent="0.4">
      <c r="A91" s="146"/>
      <c r="B91" s="155"/>
      <c r="C91" s="156"/>
      <c r="D91" s="150"/>
      <c r="E91" s="153" t="s">
        <v>155</v>
      </c>
      <c r="F91" s="154"/>
      <c r="G91" s="152"/>
    </row>
    <row r="92" spans="1:7" s="1" customFormat="1" ht="13.5" hidden="1" customHeight="1" thickBot="1" x14ac:dyDescent="0.45">
      <c r="A92" s="158"/>
      <c r="B92" s="157"/>
      <c r="C92" s="159"/>
      <c r="D92" s="160" t="s">
        <v>2</v>
      </c>
      <c r="E92" s="157"/>
      <c r="F92" s="159"/>
      <c r="G92" s="161"/>
    </row>
    <row r="93" spans="1:7" s="1" customFormat="1" ht="13.5" hidden="1" customHeight="1" thickTop="1" x14ac:dyDescent="0.4">
      <c r="E93" s="120"/>
      <c r="F93" s="120"/>
      <c r="G93" s="2"/>
    </row>
    <row r="94" spans="1:7" s="1" customFormat="1" ht="13.5" hidden="1" customHeight="1" x14ac:dyDescent="0.45">
      <c r="E94" s="162" t="s">
        <v>156</v>
      </c>
      <c r="F94" s="163"/>
      <c r="G94" s="164"/>
    </row>
    <row r="95" spans="1:7" s="163" customFormat="1" ht="15.75" hidden="1" customHeight="1" thickBot="1" x14ac:dyDescent="0.5">
      <c r="A95" s="162" t="s">
        <v>157</v>
      </c>
      <c r="E95" s="165" t="s">
        <v>158</v>
      </c>
      <c r="F95" s="1"/>
      <c r="G95" s="164"/>
    </row>
    <row r="96" spans="1:7" s="1" customFormat="1" ht="14.25" hidden="1" customHeight="1" thickTop="1" thickBot="1" x14ac:dyDescent="0.45">
      <c r="A96" s="166" t="s">
        <v>159</v>
      </c>
      <c r="B96" s="166" t="s">
        <v>160</v>
      </c>
      <c r="C96" s="167" t="s">
        <v>161</v>
      </c>
      <c r="D96" s="167" t="s">
        <v>162</v>
      </c>
      <c r="E96" s="166" t="s">
        <v>159</v>
      </c>
      <c r="F96" s="166" t="s">
        <v>160</v>
      </c>
      <c r="G96" s="168" t="s">
        <v>163</v>
      </c>
    </row>
    <row r="97" spans="1:7" s="1" customFormat="1" ht="14.25" hidden="1" customHeight="1" thickTop="1" thickBot="1" x14ac:dyDescent="0.45">
      <c r="A97" s="169">
        <v>0</v>
      </c>
      <c r="B97" s="169">
        <v>0</v>
      </c>
      <c r="C97" s="170">
        <v>0</v>
      </c>
      <c r="D97" s="170">
        <v>0</v>
      </c>
      <c r="E97" s="169">
        <v>0</v>
      </c>
      <c r="F97" s="169">
        <v>0</v>
      </c>
      <c r="G97" s="171">
        <v>0</v>
      </c>
    </row>
    <row r="98" spans="1:7" s="1" customFormat="1" ht="16.5" hidden="1" customHeight="1" thickTop="1" thickBot="1" x14ac:dyDescent="0.5">
      <c r="A98" s="172">
        <v>1</v>
      </c>
      <c r="B98" s="172">
        <v>1500</v>
      </c>
      <c r="C98" s="173">
        <v>300</v>
      </c>
      <c r="D98" s="173">
        <v>50</v>
      </c>
      <c r="E98" s="172">
        <v>1</v>
      </c>
      <c r="F98" s="172">
        <v>800</v>
      </c>
      <c r="G98" s="174">
        <v>20</v>
      </c>
    </row>
    <row r="99" spans="1:7" s="1" customFormat="1" ht="16.5" hidden="1" customHeight="1" thickTop="1" thickBot="1" x14ac:dyDescent="0.5">
      <c r="A99" s="172">
        <v>1501</v>
      </c>
      <c r="B99" s="172">
        <v>5000</v>
      </c>
      <c r="C99" s="173">
        <v>800</v>
      </c>
      <c r="D99" s="173">
        <v>100</v>
      </c>
      <c r="E99" s="172">
        <v>801</v>
      </c>
      <c r="F99" s="172">
        <v>5000</v>
      </c>
      <c r="G99" s="174">
        <v>125</v>
      </c>
    </row>
    <row r="100" spans="1:7" s="1" customFormat="1" ht="16.5" hidden="1" customHeight="1" thickTop="1" thickBot="1" x14ac:dyDescent="0.5">
      <c r="A100" s="172">
        <v>5001</v>
      </c>
      <c r="B100" s="172">
        <v>10000</v>
      </c>
      <c r="C100" s="173">
        <v>1500</v>
      </c>
      <c r="D100" s="173">
        <v>150</v>
      </c>
      <c r="E100" s="172">
        <v>5001</v>
      </c>
      <c r="F100" s="172">
        <v>1000000</v>
      </c>
      <c r="G100" s="174">
        <v>700</v>
      </c>
    </row>
    <row r="101" spans="1:7" s="1" customFormat="1" ht="16.5" hidden="1" customHeight="1" thickTop="1" thickBot="1" x14ac:dyDescent="0.5">
      <c r="A101" s="172">
        <v>10001</v>
      </c>
      <c r="B101" s="172">
        <v>15000</v>
      </c>
      <c r="C101" s="173">
        <v>2200</v>
      </c>
      <c r="D101" s="173">
        <v>200</v>
      </c>
      <c r="E101" s="175" t="s">
        <v>164</v>
      </c>
      <c r="G101" s="2"/>
    </row>
    <row r="102" spans="1:7" s="1" customFormat="1" ht="16.5" hidden="1" customHeight="1" thickTop="1" thickBot="1" x14ac:dyDescent="0.5">
      <c r="A102" s="172">
        <v>15001</v>
      </c>
      <c r="B102" s="172">
        <v>20000</v>
      </c>
      <c r="C102" s="173">
        <v>2900</v>
      </c>
      <c r="D102" s="173">
        <v>250</v>
      </c>
      <c r="E102" s="175" t="s">
        <v>165</v>
      </c>
      <c r="G102" s="2"/>
    </row>
    <row r="103" spans="1:7" s="1" customFormat="1" ht="16.5" hidden="1" customHeight="1" thickTop="1" thickBot="1" x14ac:dyDescent="0.5">
      <c r="A103" s="172">
        <v>20001</v>
      </c>
      <c r="B103" s="172">
        <v>25000</v>
      </c>
      <c r="C103" s="173">
        <v>3600</v>
      </c>
      <c r="D103" s="173">
        <v>300</v>
      </c>
      <c r="E103" s="175" t="s">
        <v>166</v>
      </c>
      <c r="G103" s="2"/>
    </row>
    <row r="104" spans="1:7" s="1" customFormat="1" ht="16.5" hidden="1" customHeight="1" thickTop="1" thickBot="1" x14ac:dyDescent="0.5">
      <c r="A104" s="172">
        <v>25000</v>
      </c>
      <c r="B104" s="172">
        <v>1000000</v>
      </c>
      <c r="C104" s="173">
        <v>4500</v>
      </c>
      <c r="D104" s="173">
        <v>400</v>
      </c>
      <c r="F104" s="164"/>
      <c r="G104" s="2"/>
    </row>
    <row r="105" spans="1:7" s="1" customFormat="1" ht="13.5" hidden="1" customHeight="1" thickTop="1" x14ac:dyDescent="0.4">
      <c r="A105" s="176"/>
      <c r="F105" s="164"/>
      <c r="G105" s="2"/>
    </row>
    <row r="106" spans="1:7" s="1" customFormat="1" ht="15" hidden="1" customHeight="1" x14ac:dyDescent="0.45">
      <c r="A106" s="176"/>
      <c r="C106" s="162" t="s">
        <v>167</v>
      </c>
      <c r="F106" s="164"/>
      <c r="G106" s="2"/>
    </row>
    <row r="107" spans="1:7" s="177" customFormat="1" ht="17.25" hidden="1" customHeight="1" thickBot="1" x14ac:dyDescent="0.5">
      <c r="C107" s="162" t="s">
        <v>168</v>
      </c>
      <c r="D107" s="162"/>
      <c r="F107" s="177" t="s">
        <v>169</v>
      </c>
      <c r="G107" s="178"/>
    </row>
    <row r="108" spans="1:7" s="163" customFormat="1" ht="16.5" hidden="1" customHeight="1" thickTop="1" thickBot="1" x14ac:dyDescent="0.5">
      <c r="B108" s="166" t="s">
        <v>170</v>
      </c>
      <c r="C108" s="179" t="s">
        <v>171</v>
      </c>
      <c r="D108" s="180" t="s">
        <v>44</v>
      </c>
      <c r="E108" s="166" t="s">
        <v>170</v>
      </c>
      <c r="F108" s="179" t="s">
        <v>171</v>
      </c>
      <c r="G108" s="180" t="s">
        <v>44</v>
      </c>
    </row>
    <row r="109" spans="1:7" s="163" customFormat="1" ht="15.75" hidden="1" customHeight="1" thickTop="1" thickBot="1" x14ac:dyDescent="0.5">
      <c r="B109" s="181">
        <v>1</v>
      </c>
      <c r="C109" s="181">
        <v>500</v>
      </c>
      <c r="D109" s="182">
        <v>0</v>
      </c>
      <c r="E109" s="181">
        <v>1</v>
      </c>
      <c r="F109" s="181">
        <v>5000</v>
      </c>
      <c r="G109" s="182">
        <v>26.4</v>
      </c>
    </row>
    <row r="110" spans="1:7" s="163" customFormat="1" ht="15" hidden="1" customHeight="1" thickTop="1" x14ac:dyDescent="0.45">
      <c r="B110" s="183">
        <v>501</v>
      </c>
      <c r="C110" s="183">
        <v>1000</v>
      </c>
      <c r="D110" s="182">
        <v>26.4</v>
      </c>
      <c r="E110" s="183">
        <v>5001</v>
      </c>
      <c r="F110" s="183">
        <v>15000</v>
      </c>
      <c r="G110" s="184">
        <v>31.9</v>
      </c>
    </row>
    <row r="111" spans="1:7" s="163" customFormat="1" ht="15" hidden="1" customHeight="1" x14ac:dyDescent="0.45">
      <c r="B111" s="183">
        <v>1001</v>
      </c>
      <c r="C111" s="183">
        <v>2500</v>
      </c>
      <c r="D111" s="184">
        <v>34.1</v>
      </c>
      <c r="E111" s="183">
        <v>15001</v>
      </c>
      <c r="F111" s="183">
        <v>25000</v>
      </c>
      <c r="G111" s="184">
        <v>37.4</v>
      </c>
    </row>
    <row r="112" spans="1:7" s="163" customFormat="1" ht="15" hidden="1" customHeight="1" x14ac:dyDescent="0.45">
      <c r="B112" s="183">
        <v>2501</v>
      </c>
      <c r="C112" s="183">
        <v>4000</v>
      </c>
      <c r="D112" s="185">
        <v>41.8</v>
      </c>
      <c r="E112" s="183">
        <v>25001</v>
      </c>
      <c r="F112" s="183">
        <v>35000</v>
      </c>
      <c r="G112" s="185">
        <v>41.8</v>
      </c>
    </row>
    <row r="113" spans="1:7" s="163" customFormat="1" ht="15" hidden="1" customHeight="1" x14ac:dyDescent="0.45">
      <c r="B113" s="183">
        <v>4001</v>
      </c>
      <c r="C113" s="183">
        <v>5000</v>
      </c>
      <c r="D113" s="184">
        <v>45.1</v>
      </c>
      <c r="E113" s="183">
        <v>35001</v>
      </c>
      <c r="F113" s="183">
        <v>45000</v>
      </c>
      <c r="G113" s="184">
        <v>45.1</v>
      </c>
    </row>
    <row r="114" spans="1:7" s="163" customFormat="1" ht="15" hidden="1" customHeight="1" x14ac:dyDescent="0.45">
      <c r="B114" s="183">
        <v>5001</v>
      </c>
      <c r="C114" s="183">
        <v>7000</v>
      </c>
      <c r="D114" s="186">
        <v>49.5</v>
      </c>
      <c r="E114" s="183">
        <v>45001</v>
      </c>
      <c r="F114" s="183">
        <v>55000</v>
      </c>
      <c r="G114" s="186">
        <v>49.5</v>
      </c>
    </row>
    <row r="115" spans="1:7" s="163" customFormat="1" ht="15" hidden="1" customHeight="1" x14ac:dyDescent="0.45">
      <c r="B115" s="183">
        <v>7001</v>
      </c>
      <c r="C115" s="183">
        <v>10000</v>
      </c>
      <c r="D115" s="184">
        <v>52.8</v>
      </c>
      <c r="E115" s="183">
        <v>55001</v>
      </c>
      <c r="F115" s="183">
        <v>65000</v>
      </c>
      <c r="G115" s="184">
        <v>52.8</v>
      </c>
    </row>
    <row r="116" spans="1:7" s="163" customFormat="1" ht="15" hidden="1" customHeight="1" x14ac:dyDescent="0.45">
      <c r="B116" s="183">
        <v>10001</v>
      </c>
      <c r="C116" s="183">
        <v>20000</v>
      </c>
      <c r="D116" s="184">
        <v>57.2</v>
      </c>
      <c r="E116" s="183">
        <v>65001</v>
      </c>
      <c r="F116" s="183">
        <v>75000</v>
      </c>
      <c r="G116" s="184">
        <v>57.2</v>
      </c>
    </row>
    <row r="117" spans="1:7" s="163" customFormat="1" ht="15" hidden="1" customHeight="1" x14ac:dyDescent="0.45">
      <c r="B117" s="183">
        <v>20001</v>
      </c>
      <c r="C117" s="183">
        <v>30000</v>
      </c>
      <c r="D117" s="184">
        <v>60.5</v>
      </c>
      <c r="E117" s="183">
        <v>76001</v>
      </c>
      <c r="F117" s="183">
        <v>100000</v>
      </c>
      <c r="G117" s="184">
        <v>60.5</v>
      </c>
    </row>
    <row r="118" spans="1:7" s="163" customFormat="1" ht="15.75" hidden="1" customHeight="1" thickBot="1" x14ac:dyDescent="0.5">
      <c r="B118" s="187">
        <v>30001</v>
      </c>
      <c r="C118" s="187">
        <v>1000000</v>
      </c>
      <c r="D118" s="188">
        <v>64.900000000000006</v>
      </c>
      <c r="E118" s="187">
        <v>100000</v>
      </c>
      <c r="F118" s="187">
        <v>150000</v>
      </c>
      <c r="G118" s="188">
        <v>64.900000000000006</v>
      </c>
    </row>
    <row r="119" spans="1:7" s="1" customFormat="1" ht="13.5" hidden="1" customHeight="1" thickTop="1" thickBot="1" x14ac:dyDescent="0.45">
      <c r="A119" s="176"/>
      <c r="B119" s="187"/>
      <c r="C119" s="187"/>
      <c r="D119" s="188"/>
      <c r="E119" s="187">
        <v>150001</v>
      </c>
      <c r="F119" s="187">
        <v>250000</v>
      </c>
      <c r="G119" s="188">
        <v>68.2</v>
      </c>
    </row>
    <row r="120" spans="1:7" s="122" customFormat="1" ht="13.5" hidden="1" customHeight="1" thickTop="1" thickBot="1" x14ac:dyDescent="0.45">
      <c r="B120" s="187"/>
      <c r="C120" s="187"/>
      <c r="D120" s="188"/>
      <c r="E120" s="187">
        <v>250001</v>
      </c>
      <c r="F120" s="187">
        <v>10000000</v>
      </c>
      <c r="G120" s="188">
        <v>72.599999999999994</v>
      </c>
    </row>
    <row r="121" spans="1:7" s="122" customFormat="1" ht="13.5" hidden="1" customHeight="1" thickTop="1" x14ac:dyDescent="0.4">
      <c r="B121" s="127"/>
      <c r="E121" s="1"/>
      <c r="F121" s="1"/>
      <c r="G121" s="2"/>
    </row>
    <row r="122" spans="1:7" s="122" customFormat="1" ht="13.5" hidden="1" customHeight="1" x14ac:dyDescent="0.4">
      <c r="B122" s="127"/>
      <c r="E122" s="1"/>
      <c r="F122" s="1"/>
      <c r="G122" s="2"/>
    </row>
    <row r="123" spans="1:7" s="122" customFormat="1" ht="15" hidden="1" customHeight="1" x14ac:dyDescent="0.4">
      <c r="E123" s="1"/>
      <c r="F123" s="1"/>
      <c r="G123" s="128"/>
    </row>
    <row r="124" spans="1:7" s="122" customFormat="1" ht="15" hidden="1" customHeight="1" thickBot="1" x14ac:dyDescent="0.5">
      <c r="B124" s="162" t="s">
        <v>172</v>
      </c>
      <c r="E124" s="1"/>
      <c r="F124" s="1"/>
      <c r="G124" s="128" t="s">
        <v>173</v>
      </c>
    </row>
    <row r="125" spans="1:7" s="122" customFormat="1" ht="15" hidden="1" customHeight="1" thickTop="1" thickBot="1" x14ac:dyDescent="0.45">
      <c r="A125" s="189" t="s">
        <v>174</v>
      </c>
      <c r="B125" s="190"/>
      <c r="C125" s="191"/>
      <c r="D125" s="191" t="s">
        <v>4</v>
      </c>
      <c r="E125" s="191"/>
      <c r="F125" s="189" t="s">
        <v>175</v>
      </c>
      <c r="G125" s="192" t="s">
        <v>176</v>
      </c>
    </row>
    <row r="126" spans="1:7" s="122" customFormat="1" ht="13.5" hidden="1" customHeight="1" thickTop="1" x14ac:dyDescent="0.5">
      <c r="A126" s="193" t="s">
        <v>6</v>
      </c>
      <c r="B126" s="194" t="s">
        <v>177</v>
      </c>
      <c r="C126" s="195"/>
      <c r="D126" s="195"/>
      <c r="E126" s="196"/>
      <c r="F126" s="197">
        <v>9513</v>
      </c>
      <c r="G126" s="198">
        <v>10340</v>
      </c>
    </row>
    <row r="127" spans="1:7" s="122" customFormat="1" ht="12.7" hidden="1" x14ac:dyDescent="0.4">
      <c r="A127" s="199" t="s">
        <v>8</v>
      </c>
      <c r="B127" s="200" t="s">
        <v>178</v>
      </c>
      <c r="C127" s="1"/>
      <c r="D127" s="1"/>
      <c r="E127" s="201"/>
      <c r="F127" s="202" t="s">
        <v>2</v>
      </c>
      <c r="G127" s="203"/>
    </row>
    <row r="128" spans="1:7" s="122" customFormat="1" ht="12.7" hidden="1" x14ac:dyDescent="0.4">
      <c r="A128" s="204" t="s">
        <v>179</v>
      </c>
      <c r="B128" s="1" t="s">
        <v>180</v>
      </c>
      <c r="C128" s="1"/>
      <c r="D128" s="1"/>
      <c r="E128" s="201"/>
      <c r="F128" s="202">
        <v>18971</v>
      </c>
      <c r="G128" s="203">
        <v>20619</v>
      </c>
    </row>
    <row r="129" spans="1:7" s="122" customFormat="1" ht="12.7" hidden="1" x14ac:dyDescent="0.4">
      <c r="A129" s="204" t="s">
        <v>179</v>
      </c>
      <c r="B129" s="1" t="s">
        <v>181</v>
      </c>
      <c r="C129" s="1"/>
      <c r="D129" s="1"/>
      <c r="E129" s="201"/>
      <c r="F129" s="202"/>
      <c r="G129" s="203"/>
    </row>
    <row r="130" spans="1:7" s="122" customFormat="1" ht="13" hidden="1" thickBot="1" x14ac:dyDescent="0.45">
      <c r="A130" s="205"/>
      <c r="B130" s="206" t="s">
        <v>182</v>
      </c>
      <c r="C130" s="206"/>
      <c r="D130" s="206"/>
      <c r="E130" s="207"/>
      <c r="F130" s="208">
        <v>74</v>
      </c>
      <c r="G130" s="209">
        <v>78</v>
      </c>
    </row>
    <row r="131" spans="1:7" s="122" customFormat="1" ht="13" hidden="1" thickTop="1" x14ac:dyDescent="0.4">
      <c r="B131" s="127"/>
      <c r="G131" s="128"/>
    </row>
    <row r="132" spans="1:7" s="122" customFormat="1" ht="12.7" hidden="1" x14ac:dyDescent="0.4">
      <c r="B132" s="127"/>
      <c r="G132" s="128"/>
    </row>
    <row r="133" spans="1:7" s="122" customFormat="1" ht="12.7" hidden="1" x14ac:dyDescent="0.4">
      <c r="B133" s="127"/>
      <c r="G133" s="128"/>
    </row>
    <row r="134" spans="1:7" s="122" customFormat="1" ht="12.7" hidden="1" x14ac:dyDescent="0.4">
      <c r="B134" s="127" t="s">
        <v>183</v>
      </c>
      <c r="F134" s="128"/>
      <c r="G134" s="210"/>
    </row>
    <row r="135" spans="1:7" s="122" customFormat="1" ht="13" hidden="1" thickBot="1" x14ac:dyDescent="0.45">
      <c r="A135" s="165" t="s">
        <v>158</v>
      </c>
      <c r="B135" s="1"/>
      <c r="C135" s="164"/>
      <c r="D135" s="10"/>
      <c r="E135" s="118" t="s">
        <v>184</v>
      </c>
      <c r="F135" s="12"/>
      <c r="G135" s="211">
        <v>9000</v>
      </c>
    </row>
    <row r="136" spans="1:7" s="122" customFormat="1" ht="13.35" hidden="1" thickTop="1" thickBot="1" x14ac:dyDescent="0.45">
      <c r="A136" s="166" t="s">
        <v>159</v>
      </c>
      <c r="B136" s="166" t="s">
        <v>160</v>
      </c>
      <c r="C136" s="212" t="s">
        <v>163</v>
      </c>
      <c r="D136" s="213" t="s">
        <v>185</v>
      </c>
      <c r="E136" s="214"/>
      <c r="F136" s="215"/>
      <c r="G136" s="216"/>
    </row>
    <row r="137" spans="1:7" ht="15" hidden="1" thickTop="1" thickBot="1" x14ac:dyDescent="0.55000000000000004">
      <c r="A137" s="217">
        <v>1</v>
      </c>
      <c r="B137" s="217">
        <v>10000</v>
      </c>
      <c r="C137" s="218">
        <v>1000</v>
      </c>
      <c r="D137" s="219" t="s">
        <v>186</v>
      </c>
      <c r="E137" s="220" t="s">
        <v>187</v>
      </c>
      <c r="F137" s="10"/>
      <c r="G137" s="221" t="s">
        <v>188</v>
      </c>
    </row>
    <row r="138" spans="1:7" ht="16" hidden="1" thickTop="1" thickBot="1" x14ac:dyDescent="0.55000000000000004">
      <c r="A138" s="172">
        <v>10001</v>
      </c>
      <c r="B138" s="172">
        <v>15000</v>
      </c>
      <c r="C138" s="222">
        <v>1560</v>
      </c>
      <c r="D138" s="219">
        <v>1</v>
      </c>
      <c r="E138" s="220">
        <v>50</v>
      </c>
      <c r="F138" s="10"/>
      <c r="G138" s="223">
        <v>660000</v>
      </c>
    </row>
    <row r="139" spans="1:7" ht="16" hidden="1" thickTop="1" thickBot="1" x14ac:dyDescent="0.55000000000000004">
      <c r="A139" s="172">
        <v>15001</v>
      </c>
      <c r="B139" s="172">
        <v>20000</v>
      </c>
      <c r="C139" s="222">
        <v>2120</v>
      </c>
      <c r="D139" s="219">
        <v>51</v>
      </c>
      <c r="E139" s="220">
        <v>100</v>
      </c>
      <c r="F139" s="10"/>
      <c r="G139" s="223">
        <v>1080000</v>
      </c>
    </row>
    <row r="140" spans="1:7" ht="16" hidden="1" thickTop="1" thickBot="1" x14ac:dyDescent="0.55000000000000004">
      <c r="A140" s="172">
        <v>20001</v>
      </c>
      <c r="B140" s="172">
        <v>1000000</v>
      </c>
      <c r="C140" s="222">
        <v>2680</v>
      </c>
      <c r="D140" s="219">
        <v>101</v>
      </c>
      <c r="E140" s="220">
        <v>150</v>
      </c>
      <c r="F140" s="10"/>
      <c r="G140" s="223">
        <v>1620000</v>
      </c>
    </row>
    <row r="141" spans="1:7" ht="15" hidden="1" thickTop="1" thickBot="1" x14ac:dyDescent="0.55000000000000004">
      <c r="A141" s="25" t="s">
        <v>189</v>
      </c>
      <c r="B141" s="11"/>
      <c r="C141" s="10"/>
      <c r="D141" s="224">
        <v>151</v>
      </c>
      <c r="E141" s="225">
        <v>200</v>
      </c>
      <c r="F141" s="226"/>
      <c r="G141" s="227">
        <v>2520000</v>
      </c>
    </row>
    <row r="142" spans="1:7" ht="15" hidden="1" thickTop="1" thickBot="1" x14ac:dyDescent="0.55000000000000004">
      <c r="A142" s="25" t="s">
        <v>190</v>
      </c>
      <c r="B142" s="11"/>
      <c r="C142" s="212" t="s">
        <v>163</v>
      </c>
      <c r="D142" s="228" t="s">
        <v>191</v>
      </c>
      <c r="E142" s="229"/>
      <c r="F142" s="230" t="s">
        <v>192</v>
      </c>
      <c r="G142" s="231">
        <v>2000000</v>
      </c>
    </row>
    <row r="143" spans="1:7" ht="15" hidden="1" thickTop="1" thickBot="1" x14ac:dyDescent="0.55000000000000004">
      <c r="A143" s="232" t="s">
        <v>193</v>
      </c>
      <c r="B143" s="233"/>
      <c r="C143" s="234">
        <v>6363</v>
      </c>
      <c r="D143" s="228" t="s">
        <v>194</v>
      </c>
      <c r="E143" s="229"/>
      <c r="F143" s="235" t="s">
        <v>195</v>
      </c>
      <c r="G143" s="231">
        <v>50</v>
      </c>
    </row>
    <row r="144" spans="1:7" ht="16" hidden="1" thickTop="1" thickBot="1" x14ac:dyDescent="0.55000000000000004">
      <c r="A144" s="236" t="s">
        <v>196</v>
      </c>
      <c r="B144" s="172"/>
      <c r="C144" s="222">
        <v>957</v>
      </c>
      <c r="D144" s="228" t="s">
        <v>197</v>
      </c>
      <c r="E144" s="229"/>
      <c r="F144" s="235" t="s">
        <v>195</v>
      </c>
      <c r="G144" s="231">
        <v>50</v>
      </c>
    </row>
    <row r="145" spans="1:7" ht="16" hidden="1" thickTop="1" thickBot="1" x14ac:dyDescent="0.55000000000000004">
      <c r="A145" s="172" t="s">
        <v>198</v>
      </c>
      <c r="B145" s="172"/>
      <c r="C145" s="222">
        <v>474</v>
      </c>
      <c r="D145" s="228" t="s">
        <v>199</v>
      </c>
      <c r="E145" s="229"/>
      <c r="F145" s="235" t="s">
        <v>195</v>
      </c>
      <c r="G145" s="231">
        <v>20</v>
      </c>
    </row>
    <row r="146" spans="1:7" ht="16" hidden="1" thickTop="1" thickBot="1" x14ac:dyDescent="0.55000000000000004">
      <c r="A146" s="172" t="s">
        <v>200</v>
      </c>
      <c r="B146" s="172"/>
      <c r="C146" s="222">
        <v>500</v>
      </c>
      <c r="D146" s="228" t="s">
        <v>201</v>
      </c>
      <c r="E146" s="229"/>
      <c r="F146" s="230" t="s">
        <v>202</v>
      </c>
      <c r="G146" s="231">
        <v>80000</v>
      </c>
    </row>
    <row r="147" spans="1:7" ht="14.7" hidden="1" thickTop="1" x14ac:dyDescent="0.5">
      <c r="A147" s="10"/>
      <c r="B147" s="11"/>
      <c r="C147" s="10"/>
      <c r="D147" s="10"/>
      <c r="E147" s="10"/>
      <c r="F147" s="10"/>
      <c r="G147" s="12"/>
    </row>
    <row r="148" spans="1:7" ht="14.7" hidden="1" thickBot="1" x14ac:dyDescent="0.55000000000000004">
      <c r="A148" s="10"/>
      <c r="B148" s="237" t="s">
        <v>203</v>
      </c>
      <c r="C148" s="10"/>
      <c r="D148" s="10"/>
      <c r="E148" s="10"/>
      <c r="F148" s="10"/>
      <c r="G148" s="12"/>
    </row>
    <row r="149" spans="1:7" hidden="1" x14ac:dyDescent="0.5">
      <c r="A149" s="238"/>
      <c r="B149" s="239" t="s">
        <v>204</v>
      </c>
      <c r="C149" s="240"/>
      <c r="D149" s="240"/>
      <c r="E149" s="240"/>
      <c r="F149" s="240"/>
      <c r="G149" s="241"/>
    </row>
    <row r="150" spans="1:7" hidden="1" x14ac:dyDescent="0.5">
      <c r="A150" s="242" t="s">
        <v>205</v>
      </c>
      <c r="B150" s="11"/>
      <c r="C150" s="10"/>
      <c r="D150" s="10"/>
      <c r="E150" s="10"/>
      <c r="F150" s="10"/>
      <c r="G150" s="243"/>
    </row>
    <row r="151" spans="1:7" hidden="1" x14ac:dyDescent="0.5">
      <c r="A151" s="242" t="s">
        <v>206</v>
      </c>
      <c r="B151" s="11"/>
      <c r="C151" s="10"/>
      <c r="D151" s="10"/>
      <c r="E151" s="10"/>
      <c r="F151" s="10"/>
      <c r="G151" s="243"/>
    </row>
    <row r="152" spans="1:7" hidden="1" x14ac:dyDescent="0.5">
      <c r="A152" s="242" t="s">
        <v>2</v>
      </c>
      <c r="B152" s="11" t="s">
        <v>207</v>
      </c>
      <c r="C152" s="10" t="s">
        <v>208</v>
      </c>
      <c r="D152" s="10"/>
      <c r="E152" s="10"/>
      <c r="F152" s="10"/>
      <c r="G152" s="243"/>
    </row>
    <row r="153" spans="1:7" ht="14.7" hidden="1" thickBot="1" x14ac:dyDescent="0.55000000000000004">
      <c r="A153" s="244"/>
      <c r="B153" s="245" t="s">
        <v>209</v>
      </c>
      <c r="C153" s="246" t="s">
        <v>210</v>
      </c>
      <c r="D153" s="246"/>
      <c r="E153" s="246"/>
      <c r="F153" s="246"/>
      <c r="G153" s="247"/>
    </row>
    <row r="154" spans="1:7" ht="14.7" hidden="1" thickBot="1" x14ac:dyDescent="0.55000000000000004">
      <c r="A154" s="10"/>
      <c r="B154" s="11" t="s">
        <v>211</v>
      </c>
      <c r="C154" s="10"/>
      <c r="D154" s="10"/>
      <c r="E154" s="10" t="s">
        <v>212</v>
      </c>
      <c r="F154" s="10" t="s">
        <v>213</v>
      </c>
      <c r="G154" s="248" t="s">
        <v>214</v>
      </c>
    </row>
    <row r="155" spans="1:7" ht="15" hidden="1" thickTop="1" thickBot="1" x14ac:dyDescent="0.55000000000000004">
      <c r="A155" s="238"/>
      <c r="B155" s="239" t="s">
        <v>215</v>
      </c>
      <c r="C155" s="249"/>
      <c r="D155" s="10"/>
      <c r="E155" s="166" t="s">
        <v>170</v>
      </c>
      <c r="F155" s="166" t="s">
        <v>216</v>
      </c>
      <c r="G155" s="250" t="s">
        <v>44</v>
      </c>
    </row>
    <row r="156" spans="1:7" ht="16" hidden="1" thickTop="1" thickBot="1" x14ac:dyDescent="0.55000000000000004">
      <c r="A156" s="242">
        <v>1</v>
      </c>
      <c r="B156" s="11">
        <v>3</v>
      </c>
      <c r="C156" s="251">
        <v>35000000</v>
      </c>
      <c r="D156" s="10"/>
      <c r="E156" s="252">
        <v>1</v>
      </c>
      <c r="F156" s="252">
        <v>800</v>
      </c>
      <c r="G156" s="253">
        <v>10</v>
      </c>
    </row>
    <row r="157" spans="1:7" ht="16" hidden="1" thickTop="1" thickBot="1" x14ac:dyDescent="0.55000000000000004">
      <c r="A157" s="244" t="s">
        <v>217</v>
      </c>
      <c r="B157" s="245"/>
      <c r="C157" s="254"/>
      <c r="D157" s="10"/>
      <c r="E157" s="255">
        <v>801</v>
      </c>
      <c r="F157" s="255">
        <v>5000</v>
      </c>
      <c r="G157" s="256">
        <v>20</v>
      </c>
    </row>
    <row r="158" spans="1:7" ht="16" hidden="1" thickTop="1" thickBot="1" x14ac:dyDescent="0.55000000000000004">
      <c r="A158" s="10"/>
      <c r="B158" s="11"/>
      <c r="C158" s="10"/>
      <c r="D158" s="10"/>
      <c r="E158" s="255">
        <v>5001</v>
      </c>
      <c r="F158" s="255">
        <v>1000000</v>
      </c>
      <c r="G158" s="256">
        <v>100</v>
      </c>
    </row>
    <row r="159" spans="1:7" ht="14.7" hidden="1" thickTop="1" x14ac:dyDescent="0.5">
      <c r="A159" s="10"/>
      <c r="B159" s="11"/>
      <c r="C159" s="10"/>
      <c r="D159" s="10"/>
      <c r="E159" s="10"/>
      <c r="F159" s="10"/>
      <c r="G159" s="12"/>
    </row>
    <row r="160" spans="1:7" ht="14.7" hidden="1" thickBot="1" x14ac:dyDescent="0.55000000000000004">
      <c r="A160" s="10"/>
      <c r="B160" s="11"/>
      <c r="C160" s="10"/>
      <c r="D160" s="10"/>
      <c r="E160" s="257" t="s">
        <v>218</v>
      </c>
      <c r="F160" s="11"/>
      <c r="G160" s="10"/>
    </row>
    <row r="161" spans="1:7" ht="15" hidden="1" thickTop="1" thickBot="1" x14ac:dyDescent="0.55000000000000004">
      <c r="A161" s="257"/>
      <c r="B161" s="11" t="s">
        <v>219</v>
      </c>
      <c r="C161" s="10"/>
      <c r="D161" s="10"/>
      <c r="E161" s="166" t="s">
        <v>159</v>
      </c>
      <c r="F161" s="166" t="s">
        <v>160</v>
      </c>
      <c r="G161" s="212" t="s">
        <v>163</v>
      </c>
    </row>
    <row r="162" spans="1:7" ht="15" hidden="1" thickTop="1" thickBot="1" x14ac:dyDescent="0.55000000000000004">
      <c r="A162" s="166" t="s">
        <v>159</v>
      </c>
      <c r="B162" s="166" t="s">
        <v>160</v>
      </c>
      <c r="C162" s="212" t="s">
        <v>163</v>
      </c>
      <c r="D162" s="10"/>
      <c r="E162" s="166">
        <v>0</v>
      </c>
      <c r="F162" s="166">
        <v>0</v>
      </c>
      <c r="G162" s="212">
        <v>0</v>
      </c>
    </row>
    <row r="163" spans="1:7" ht="16" hidden="1" thickTop="1" thickBot="1" x14ac:dyDescent="0.55000000000000004">
      <c r="A163" s="166">
        <v>0</v>
      </c>
      <c r="B163" s="166">
        <v>0</v>
      </c>
      <c r="C163" s="212">
        <v>0</v>
      </c>
      <c r="D163" s="10"/>
      <c r="E163" s="258">
        <v>1</v>
      </c>
      <c r="F163" s="252">
        <v>1500</v>
      </c>
      <c r="G163" s="259">
        <v>260</v>
      </c>
    </row>
    <row r="164" spans="1:7" ht="16" hidden="1" thickTop="1" thickBot="1" x14ac:dyDescent="0.55000000000000004">
      <c r="A164" s="258">
        <v>1</v>
      </c>
      <c r="B164" s="252">
        <v>200</v>
      </c>
      <c r="C164" s="259">
        <v>1</v>
      </c>
      <c r="E164" s="172">
        <v>1501</v>
      </c>
      <c r="F164" s="172">
        <v>5000</v>
      </c>
      <c r="G164" s="222">
        <v>670</v>
      </c>
    </row>
    <row r="165" spans="1:7" ht="16" hidden="1" thickTop="1" thickBot="1" x14ac:dyDescent="0.55000000000000004">
      <c r="A165" s="172">
        <v>201</v>
      </c>
      <c r="B165" s="172">
        <v>500</v>
      </c>
      <c r="C165" s="222">
        <v>2</v>
      </c>
      <c r="E165" s="172">
        <v>5001</v>
      </c>
      <c r="F165" s="172">
        <v>10000</v>
      </c>
      <c r="G165" s="222">
        <v>1300</v>
      </c>
    </row>
    <row r="166" spans="1:7" ht="16" hidden="1" thickTop="1" thickBot="1" x14ac:dyDescent="0.55000000000000004">
      <c r="A166" s="172">
        <v>501</v>
      </c>
      <c r="B166" s="172">
        <v>1000</v>
      </c>
      <c r="C166" s="222">
        <v>4</v>
      </c>
      <c r="E166" s="172">
        <v>10001</v>
      </c>
      <c r="F166" s="172">
        <v>1000000</v>
      </c>
      <c r="G166" s="222">
        <v>1800</v>
      </c>
    </row>
    <row r="167" spans="1:7" ht="16" hidden="1" thickTop="1" thickBot="1" x14ac:dyDescent="0.55000000000000004">
      <c r="A167" s="172">
        <v>1001</v>
      </c>
      <c r="B167" s="172">
        <v>5000</v>
      </c>
      <c r="C167" s="222">
        <v>10</v>
      </c>
    </row>
    <row r="168" spans="1:7" ht="16" hidden="1" thickTop="1" thickBot="1" x14ac:dyDescent="0.55000000000000004">
      <c r="A168" s="172">
        <v>5001</v>
      </c>
      <c r="B168" s="172">
        <v>15000</v>
      </c>
      <c r="C168" s="222">
        <v>40</v>
      </c>
    </row>
    <row r="169" spans="1:7" ht="16" hidden="1" thickTop="1" thickBot="1" x14ac:dyDescent="0.55000000000000004">
      <c r="A169" s="172">
        <v>15001</v>
      </c>
      <c r="B169" s="172">
        <v>1000000</v>
      </c>
      <c r="C169" s="222">
        <v>100</v>
      </c>
    </row>
    <row r="170" spans="1:7" ht="15" hidden="1" thickTop="1" thickBot="1" x14ac:dyDescent="0.55000000000000004">
      <c r="A170" s="257"/>
      <c r="B170" s="11" t="s">
        <v>220</v>
      </c>
      <c r="C170" s="10"/>
    </row>
    <row r="171" spans="1:7" ht="15" hidden="1" thickTop="1" thickBot="1" x14ac:dyDescent="0.55000000000000004">
      <c r="A171" s="166" t="s">
        <v>159</v>
      </c>
      <c r="B171" s="166" t="s">
        <v>160</v>
      </c>
      <c r="C171" s="212" t="s">
        <v>163</v>
      </c>
    </row>
    <row r="172" spans="1:7" ht="16" hidden="1" thickTop="1" thickBot="1" x14ac:dyDescent="0.55000000000000004">
      <c r="A172" s="258">
        <v>0</v>
      </c>
      <c r="B172" s="258">
        <v>200</v>
      </c>
      <c r="C172" s="259">
        <v>2</v>
      </c>
    </row>
    <row r="173" spans="1:7" ht="16" hidden="1" thickTop="1" thickBot="1" x14ac:dyDescent="0.55000000000000004">
      <c r="A173" s="172">
        <v>201</v>
      </c>
      <c r="B173" s="172">
        <v>500</v>
      </c>
      <c r="C173" s="222">
        <v>4</v>
      </c>
    </row>
    <row r="174" spans="1:7" ht="16" hidden="1" thickTop="1" thickBot="1" x14ac:dyDescent="0.55000000000000004">
      <c r="A174" s="172">
        <v>501</v>
      </c>
      <c r="B174" s="172">
        <v>1000</v>
      </c>
      <c r="C174" s="222">
        <v>8</v>
      </c>
    </row>
    <row r="175" spans="1:7" ht="16" hidden="1" thickTop="1" thickBot="1" x14ac:dyDescent="0.55000000000000004">
      <c r="A175" s="172">
        <v>1001</v>
      </c>
      <c r="B175" s="172">
        <v>5000</v>
      </c>
      <c r="C175" s="222">
        <v>20</v>
      </c>
    </row>
    <row r="176" spans="1:7" ht="16" hidden="1" thickTop="1" thickBot="1" x14ac:dyDescent="0.55000000000000004">
      <c r="A176" s="172">
        <v>5001</v>
      </c>
      <c r="B176" s="172">
        <v>15000</v>
      </c>
      <c r="C176" s="222">
        <v>80</v>
      </c>
    </row>
    <row r="177" spans="1:3" ht="16" hidden="1" thickTop="1" thickBot="1" x14ac:dyDescent="0.55000000000000004">
      <c r="A177" s="172">
        <v>15001</v>
      </c>
      <c r="B177" s="172">
        <v>1000000</v>
      </c>
      <c r="C177" s="222">
        <v>200</v>
      </c>
    </row>
  </sheetData>
  <sheetProtection algorithmName="SHA-512" hashValue="Orr6mHhedNMA+dFUdN2VjwBMXgXv05+psjlGeRY2zi/S6mHRiSO+AnUcgj5ETnKXiRlcE9dqXkyRGTsTGy19oA==" saltValue="ZOx6GQo6e0Y4HGbEJPF0jg==" spinCount="100000" sheet="1" objects="1" scenarios="1"/>
  <mergeCells count="15">
    <mergeCell ref="E63:F63"/>
    <mergeCell ref="E16:F16"/>
    <mergeCell ref="E17:F17"/>
    <mergeCell ref="E20:F20"/>
    <mergeCell ref="E21:F21"/>
    <mergeCell ref="E62:F62"/>
    <mergeCell ref="E70:F70"/>
    <mergeCell ref="E71:F71"/>
    <mergeCell ref="E72:F72"/>
    <mergeCell ref="E64:F64"/>
    <mergeCell ref="E65:F65"/>
    <mergeCell ref="E66:F66"/>
    <mergeCell ref="E67:F67"/>
    <mergeCell ref="E68:F68"/>
    <mergeCell ref="E69:F69"/>
  </mergeCells>
  <dataValidations count="6">
    <dataValidation type="list" allowBlank="1" showErrorMessage="1" prompt=" " sqref="E25" xr:uid="{9DE2A463-84DD-4669-9D47-E7CEFEB6D0C2}">
      <formula1>$D$64:$D$85</formula1>
    </dataValidation>
    <dataValidation type="list" showInputMessage="1" showErrorMessage="1" sqref="E20:F20" xr:uid="{2D899842-23A7-439D-ADF9-58F5CEE5546C}">
      <formula1>$B$64:$B$68</formula1>
    </dataValidation>
    <dataValidation type="list" allowBlank="1" showInputMessage="1" showErrorMessage="1" sqref="E21:F21" xr:uid="{CD028FCA-6E38-45DC-94AF-5DB385F91660}">
      <formula1>$C$64:$C$68</formula1>
    </dataValidation>
    <dataValidation type="list" showInputMessage="1" showErrorMessage="1" sqref="E16:F16" xr:uid="{8E7541B2-3FEE-4EC7-963F-98FBE0ABC4F7}">
      <formula1>$E$64:$E$92</formula1>
    </dataValidation>
    <dataValidation type="list" showInputMessage="1" showErrorMessage="1" sqref="E17:F17" xr:uid="{8B0CF9B4-A3A2-43F9-98BD-2DF888DF5D8D}">
      <formula1>$G$64:$G$78</formula1>
    </dataValidation>
    <dataValidation type="list" allowBlank="1" showInputMessage="1" showErrorMessage="1" sqref="E24" xr:uid="{6A81F4D8-1793-4AFD-9272-03254C7DDBEA}">
      <formula1>$A$64:$A$66</formula1>
    </dataValidation>
  </dataValidations>
  <printOptions horizontalCentered="1"/>
  <pageMargins left="0.18802083333333333" right="0.23749999999999999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PDA 1401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Mehdi</cp:lastModifiedBy>
  <dcterms:created xsi:type="dcterms:W3CDTF">2022-05-09T05:40:48Z</dcterms:created>
  <dcterms:modified xsi:type="dcterms:W3CDTF">2022-12-04T07:30:28Z</dcterms:modified>
</cp:coreProperties>
</file>