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14"/>
  <workbookPr/>
  <mc:AlternateContent xmlns:mc="http://schemas.openxmlformats.org/markup-compatibility/2006">
    <mc:Choice Requires="x15">
      <x15ac:absPath xmlns:x15ac="http://schemas.microsoft.com/office/spreadsheetml/2010/11/ac" url="C:\Data\Desktop\DESKTOP 2\"/>
    </mc:Choice>
  </mc:AlternateContent>
  <xr:revisionPtr revIDLastSave="0" documentId="13_ncr:1_{96ACBAE8-35E3-40E1-ADCA-3899B4E3A26D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PDA 1400" sheetId="8" r:id="rId1"/>
    <sheet name="Sheet2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8" l="1"/>
  <c r="G44" i="8"/>
  <c r="F42" i="8"/>
  <c r="G42" i="8" s="1"/>
  <c r="C41" i="8"/>
  <c r="F41" i="8"/>
  <c r="G41" i="8"/>
  <c r="G36" i="8"/>
  <c r="F36" i="8"/>
  <c r="E29" i="8"/>
  <c r="C46" i="8"/>
  <c r="G40" i="8" l="1"/>
  <c r="F40" i="8"/>
  <c r="B44" i="8"/>
  <c r="E44" i="8"/>
  <c r="C42" i="8"/>
  <c r="C36" i="8"/>
  <c r="F37" i="8"/>
  <c r="E41" i="8"/>
  <c r="F33" i="8" l="1"/>
  <c r="G33" i="8" s="1"/>
  <c r="E52" i="8"/>
  <c r="G51" i="8"/>
  <c r="G52" i="8" s="1"/>
  <c r="E51" i="8"/>
  <c r="B51" i="8"/>
  <c r="G50" i="8"/>
  <c r="E50" i="8"/>
  <c r="G49" i="8"/>
  <c r="F43" i="8"/>
  <c r="G43" i="8" s="1"/>
  <c r="E42" i="8"/>
  <c r="B41" i="8"/>
  <c r="E40" i="8"/>
  <c r="B40" i="8"/>
  <c r="F39" i="8"/>
  <c r="E39" i="8"/>
  <c r="D39" i="8"/>
  <c r="F38" i="8"/>
  <c r="E38" i="8"/>
  <c r="D38" i="8"/>
  <c r="B38" i="8"/>
  <c r="E37" i="8"/>
  <c r="D37" i="8"/>
  <c r="E36" i="8"/>
  <c r="F35" i="8"/>
  <c r="G35" i="8" s="1"/>
  <c r="F34" i="8"/>
  <c r="G48" i="8" l="1"/>
  <c r="G34" i="8"/>
  <c r="G38" i="8"/>
  <c r="G39" i="8" s="1"/>
  <c r="G37" i="8"/>
  <c r="G46" i="8" l="1"/>
  <c r="G45" i="8"/>
  <c r="G47" i="8" l="1"/>
  <c r="G53" i="8" s="1"/>
</calcChain>
</file>

<file path=xl/sharedStrings.xml><?xml version="1.0" encoding="utf-8"?>
<sst xmlns="http://schemas.openxmlformats.org/spreadsheetml/2006/main" count="261" uniqueCount="215">
  <si>
    <t xml:space="preserve"> VSL'S/TANKER'S NAME:</t>
  </si>
  <si>
    <t>VOYAGE:</t>
  </si>
  <si>
    <t xml:space="preserve"> </t>
  </si>
  <si>
    <t>SR.</t>
  </si>
  <si>
    <t>NARRATIVE</t>
  </si>
  <si>
    <t xml:space="preserve">                         OPTIONS</t>
  </si>
  <si>
    <t>01</t>
  </si>
  <si>
    <t>PORT OF CALL</t>
  </si>
  <si>
    <t>B.ABBAS BARCO BERTH</t>
  </si>
  <si>
    <t>02</t>
  </si>
  <si>
    <t>TYPE OF THE VESSEL</t>
  </si>
  <si>
    <t>BULK CARRIER</t>
  </si>
  <si>
    <t>03</t>
  </si>
  <si>
    <t>NO. OF HATCHES/TANKS</t>
  </si>
  <si>
    <t>04</t>
  </si>
  <si>
    <t>L.O.A.</t>
  </si>
  <si>
    <t>05</t>
  </si>
  <si>
    <t xml:space="preserve">OPERATION </t>
  </si>
  <si>
    <t>LOADING</t>
  </si>
  <si>
    <t>06</t>
  </si>
  <si>
    <t>TERM OF SHIPMENT</t>
  </si>
  <si>
    <t>LINER OUT</t>
  </si>
  <si>
    <t>07</t>
  </si>
  <si>
    <t>NO.OF CONSIGNEE/SHIPPERS</t>
  </si>
  <si>
    <t>08</t>
  </si>
  <si>
    <t>PLACE OF LOADING/DISCHARGING</t>
  </si>
  <si>
    <t>JETTY</t>
  </si>
  <si>
    <t>09</t>
  </si>
  <si>
    <t xml:space="preserve">COMMODITY </t>
  </si>
  <si>
    <t>10</t>
  </si>
  <si>
    <t>CARGO QUANTITY(METRIC TON)</t>
  </si>
  <si>
    <t>MTS.</t>
  </si>
  <si>
    <t>11</t>
  </si>
  <si>
    <t>VESSELS  G.T.</t>
  </si>
  <si>
    <t>12</t>
  </si>
  <si>
    <t>VESSELS  N.T.</t>
  </si>
  <si>
    <t>13</t>
  </si>
  <si>
    <t>EST. ROUND UP NO. OF DAYS VESSEL ALONGSIDE</t>
  </si>
  <si>
    <t>DAYS</t>
  </si>
  <si>
    <t>14</t>
  </si>
  <si>
    <t>EST. HOURS VESSEL TO BE STAY ALONGSIDE</t>
  </si>
  <si>
    <t>HOURS</t>
  </si>
  <si>
    <t>AA-</t>
  </si>
  <si>
    <t>ESTIMATED PORT AND HARBOR DUES AS PER PREVAILING TARIFFS:</t>
  </si>
  <si>
    <t>S</t>
  </si>
  <si>
    <t xml:space="preserve">                                    DESCRIPTION</t>
  </si>
  <si>
    <t>BASIS</t>
  </si>
  <si>
    <t>USD</t>
  </si>
  <si>
    <t xml:space="preserve">AMOUNT $ </t>
  </si>
  <si>
    <t>G.T./TARIFF</t>
  </si>
  <si>
    <t>LIGHT &amp; BUOYAGE DUES</t>
  </si>
  <si>
    <t>DISCHARGING/LOADING</t>
  </si>
  <si>
    <t>CARGO QUANTITY</t>
  </si>
  <si>
    <t>DREDGING</t>
  </si>
  <si>
    <t xml:space="preserve">TUG CHARGES </t>
  </si>
  <si>
    <t>GARBAGE COLLECTION</t>
  </si>
  <si>
    <t>AS PER TARIFF</t>
  </si>
  <si>
    <t xml:space="preserve">ARRIVAL/DEPARTURE INSPECTION/CLEARANCE CHARGES </t>
  </si>
  <si>
    <t>G.T</t>
  </si>
  <si>
    <t>TOTAL ESTIMATED PORT DUES PRIOR DISCOUNT</t>
  </si>
  <si>
    <t>LESS DISCOUNT</t>
  </si>
  <si>
    <t>BALANCE EST. PORT AND HARBOUR DUES AFTER DISCOUNT, IF ANY</t>
  </si>
  <si>
    <t>BB-</t>
  </si>
  <si>
    <t xml:space="preserve">EST.9  PCT VAT ON PORT AND HARBOUR DUES </t>
  </si>
  <si>
    <t>CC-</t>
  </si>
  <si>
    <t>Q.M.O.FEE</t>
  </si>
  <si>
    <t>DD-</t>
  </si>
  <si>
    <t>EST. CUSTOMS OVERTIME</t>
  </si>
  <si>
    <t>EE-</t>
  </si>
  <si>
    <t>FF</t>
  </si>
  <si>
    <t>EST. 9 PCT VAT ON N.I.O.C. CHARGES</t>
  </si>
  <si>
    <t>TOTAL OF THE ABOVE</t>
  </si>
  <si>
    <r>
      <t xml:space="preserve">                  </t>
    </r>
    <r>
      <rPr>
        <b/>
        <u/>
        <sz val="10"/>
        <rFont val="Arial"/>
        <family val="2"/>
      </rPr>
      <t>FOLLOWING STATUS HAVE BEEN PREDICTED IN STATUS COLUMN</t>
    </r>
  </si>
  <si>
    <t>TERM OF</t>
  </si>
  <si>
    <t>TYPE OF THE</t>
  </si>
  <si>
    <t>FLAG</t>
  </si>
  <si>
    <t>OPERATION</t>
  </si>
  <si>
    <t xml:space="preserve"> SHIPMENT</t>
  </si>
  <si>
    <t>COMMODITY</t>
  </si>
  <si>
    <t>VESSEL</t>
  </si>
  <si>
    <t>FREE IN</t>
  </si>
  <si>
    <t>CRUDE OIL</t>
  </si>
  <si>
    <t>BANDAR ABBAS</t>
  </si>
  <si>
    <t>SBM/SPM</t>
  </si>
  <si>
    <t>DISCHARGING</t>
  </si>
  <si>
    <t>FREE OUT</t>
  </si>
  <si>
    <t>GAS</t>
  </si>
  <si>
    <t>BANDAR ANZALI</t>
  </si>
  <si>
    <t>CONTAINER CARRIER</t>
  </si>
  <si>
    <t>DISCH &amp; LOAD</t>
  </si>
  <si>
    <t>LINER IN</t>
  </si>
  <si>
    <t>STEEL PRODUCTS</t>
  </si>
  <si>
    <t>BANDAR IMAM KHOMEINI (B.I.K.)</t>
  </si>
  <si>
    <t>GENERAL CARGO</t>
  </si>
  <si>
    <t>MINERALS</t>
  </si>
  <si>
    <t>GAS CARRIER</t>
  </si>
  <si>
    <t>SULPHUR</t>
  </si>
  <si>
    <t>CHABAHAR</t>
  </si>
  <si>
    <t>MULTI PURPOSE VESSEL</t>
  </si>
  <si>
    <t>CLINKER</t>
  </si>
  <si>
    <t xml:space="preserve">KHARG ISLAND/OIL TERMINAL  </t>
  </si>
  <si>
    <t>RO - RO</t>
  </si>
  <si>
    <t>CONTAINER</t>
  </si>
  <si>
    <t xml:space="preserve">KHARG ISLAND/KHEMCO </t>
  </si>
  <si>
    <t>RO - RO/CONTAINER</t>
  </si>
  <si>
    <t>CEMENT</t>
  </si>
  <si>
    <t>MAHSHAR</t>
  </si>
  <si>
    <t>TANKER</t>
  </si>
  <si>
    <t>SANDS, GRIT,GYPSUM</t>
  </si>
  <si>
    <t>BUSHEHR</t>
  </si>
  <si>
    <t>FEEDER</t>
  </si>
  <si>
    <t>PETROCHEMICAL PRODUCT</t>
  </si>
  <si>
    <t>ASSALUYEH PARS SERVICE PORT</t>
  </si>
  <si>
    <t>CHEMICAL CARRIER</t>
  </si>
  <si>
    <t>GAS COKE</t>
  </si>
  <si>
    <t>ASSALUYEH PETRO CHEMISTRY PORT</t>
  </si>
  <si>
    <t>OBO TANKER</t>
  </si>
  <si>
    <t>QESHM-KAVEH BERTH</t>
  </si>
  <si>
    <t>OIL DERIVATIVES</t>
  </si>
  <si>
    <t>KHORRAMSHAHR</t>
  </si>
  <si>
    <t>RORO</t>
  </si>
  <si>
    <t>B.I.K - K.S.C. JETTY</t>
  </si>
  <si>
    <t>NOSHAHR</t>
  </si>
  <si>
    <t xml:space="preserve">AMIRABAD- NEKA </t>
  </si>
  <si>
    <t>KISH</t>
  </si>
  <si>
    <t>B.I.K - N.P.C./T.T.P.C</t>
  </si>
  <si>
    <t>B.I.K - PETZONE LIQUID JETTY</t>
  </si>
  <si>
    <t>SAROOJ JETTY</t>
  </si>
  <si>
    <t xml:space="preserve">ASTARA </t>
  </si>
  <si>
    <t xml:space="preserve">BANDAR LENGEH </t>
  </si>
  <si>
    <t xml:space="preserve">TANKER  GARBAGE COLLECTION </t>
  </si>
  <si>
    <t xml:space="preserve">     TUG BOAT TARIFF ON G.R.T. BASIS</t>
  </si>
  <si>
    <t xml:space="preserve">              TARIFF ON G.R.T. BASIS</t>
  </si>
  <si>
    <t xml:space="preserve">  FROM</t>
  </si>
  <si>
    <t xml:space="preserve">  TO</t>
  </si>
  <si>
    <t>FOREIGN FLAG(USD)</t>
  </si>
  <si>
    <t>IRANIAN FLAG</t>
  </si>
  <si>
    <t>AMOUNT (USD)</t>
  </si>
  <si>
    <t xml:space="preserve"> N.B. VESSELS STAY LONGER THAN 7 DAYS ALONGSIDE ARE</t>
  </si>
  <si>
    <t xml:space="preserve"> SUBJECT TO 1/7 OF ABOVE TARIFF PER EXTRA DAY AS </t>
  </si>
  <si>
    <t xml:space="preserve">    ADDITIONAL GARBAGE  COLLECTION CHARGES</t>
  </si>
  <si>
    <t xml:space="preserve">          QUARANTINE CHARGES TARIFF  ON G.R.T. BASIS</t>
  </si>
  <si>
    <t>CARGO VESSEL</t>
  </si>
  <si>
    <t>TANKERS</t>
  </si>
  <si>
    <t>FROM</t>
  </si>
  <si>
    <t xml:space="preserve">TO </t>
  </si>
  <si>
    <t xml:space="preserve">         TUG BOAT AND PILOTAGE TARIFF TO BE PAID TO N.I.O.C</t>
  </si>
  <si>
    <t>MAHSAHAR</t>
  </si>
  <si>
    <t>SR</t>
  </si>
  <si>
    <t>KHARG OIL TERMINAL</t>
  </si>
  <si>
    <t>ASSALYUEH/KHG PET</t>
  </si>
  <si>
    <r>
      <t>PILOTAGE :</t>
    </r>
    <r>
      <rPr>
        <sz val="11"/>
        <color theme="1"/>
        <rFont val="Calibri"/>
        <family val="2"/>
        <scheme val="minor"/>
      </rPr>
      <t>FOR ONE BERTHING/UNBERTHING</t>
    </r>
  </si>
  <si>
    <t>TUG BOAT:</t>
  </si>
  <si>
    <t>*</t>
  </si>
  <si>
    <t xml:space="preserve"> TANKER UP TO 20,000 MTS. N.R.T.</t>
  </si>
  <si>
    <t xml:space="preserve"> ADDITIONAL TUG BOAT FOR TANKER WITH MORE THAN</t>
  </si>
  <si>
    <t xml:space="preserve"> 20,000 MTS. N.R.T.= EACH 100 MTS. N.R.T.</t>
  </si>
  <si>
    <t>ASSALUYEH TUG BOAT TARIFF</t>
  </si>
  <si>
    <t>ISOICO TARIFF IN IRR.       R.O.E.</t>
  </si>
  <si>
    <t>1- SIDE WARFAGE BASIS ON L.O.A OF THE VSL:</t>
  </si>
  <si>
    <t>FROM/MTR</t>
  </si>
  <si>
    <t>TO/MTR</t>
  </si>
  <si>
    <t>IRR</t>
  </si>
  <si>
    <t xml:space="preserve">MAHSHAR ADDITONAL TARIFF TO BE PAID </t>
  </si>
  <si>
    <t>TO ABADAN NIOC</t>
  </si>
  <si>
    <t>2- MOORING /UNMOORING</t>
  </si>
  <si>
    <t>2 OPS.</t>
  </si>
  <si>
    <t>PILOTAGE ALREADY IN NIOC TARIFF</t>
  </si>
  <si>
    <t xml:space="preserve">3- ENTERANCE TO THE BASIN </t>
  </si>
  <si>
    <t>PER GRT</t>
  </si>
  <si>
    <t>MOORING/UNMOOREING</t>
  </si>
  <si>
    <t>4- CANAL DREDGING                  P/GRT</t>
  </si>
  <si>
    <t>MOTOR BOAT AT MAHSHAHR</t>
  </si>
  <si>
    <t xml:space="preserve">5- LIGHT DUES,BOUYEH </t>
  </si>
  <si>
    <t>MOTOR BOAT AT B.I.K</t>
  </si>
  <si>
    <t>6- GARBAGE COLLECTION        P/DAY</t>
  </si>
  <si>
    <t>PER DAY</t>
  </si>
  <si>
    <t>KISH FREE ZONE DUES</t>
  </si>
  <si>
    <t>10+DAY X USD:0.10 X GRT</t>
  </si>
  <si>
    <t>Free Zone authorities rounds up the GRT to higher figure, I.E if the GRT is 3177 the round up would be 3200</t>
  </si>
  <si>
    <t>vsl staying longer than 7 days alongside the KFZ dues will be subject</t>
  </si>
  <si>
    <t>8-14 days</t>
  </si>
  <si>
    <t>30% additional</t>
  </si>
  <si>
    <t>15-30 days</t>
  </si>
  <si>
    <t>50% additional</t>
  </si>
  <si>
    <t>QESHM LAFT JETTY</t>
  </si>
  <si>
    <t xml:space="preserve">GARBAGE </t>
  </si>
  <si>
    <t xml:space="preserve">NORT PORTS </t>
  </si>
  <si>
    <t xml:space="preserve">PER DAY </t>
  </si>
  <si>
    <t>BARGE HIRE</t>
  </si>
  <si>
    <t>TO</t>
  </si>
  <si>
    <t>4 days onward additional IRR 5500000/DAY</t>
  </si>
  <si>
    <t xml:space="preserve">TUG CHARGES NORTH PORTS </t>
  </si>
  <si>
    <t xml:space="preserve">GARBAGE COLLECTION </t>
  </si>
  <si>
    <t xml:space="preserve">LAVAN ISLAND </t>
  </si>
  <si>
    <t>TUG AND BARGE</t>
  </si>
  <si>
    <t xml:space="preserve">IRON ORE </t>
  </si>
  <si>
    <t>ASSALUYEH FARASAKOU PORT</t>
  </si>
  <si>
    <t>EST. PILOTAGE OVER TIME</t>
  </si>
  <si>
    <t xml:space="preserve">SIRRI ISLAND </t>
  </si>
  <si>
    <t>ENTRANCE TO THE PORTAND PORT  MOUTH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</si>
  <si>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</si>
  <si>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</si>
  <si>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</si>
  <si>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</si>
  <si>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</si>
  <si>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</si>
  <si>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</si>
  <si>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</si>
  <si>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</si>
  <si>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PARSIAN PORT </t>
  </si>
  <si>
    <t xml:space="preserve">IRAN LNG /TOMBAK PORT </t>
  </si>
  <si>
    <t>BIK-MAHSHAR  PETZONE INCLUDING RAZI JETTIES</t>
  </si>
  <si>
    <t>GYPSUM</t>
  </si>
  <si>
    <t xml:space="preserve">OTHERS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</si>
</sst>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i/>
      <sz val="12"/>
      <name val="Arial"/>
      <family val="2"/>
    </font>
    <font>
      <b/>
      <sz val="11"/>
      <color indexed="12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0" fontId="1" fillId="2" borderId="0" xfId="1" applyFont="1" applyFill="1" applyProtection="1">
      <protection hidden="1"/>
    </xf>
    <xf numFmtId="2" fontId="1" fillId="2" borderId="0" xfId="1" applyNumberFormat="1" applyFont="1" applyFill="1" applyAlignment="1" applyProtection="1">
      <alignment horizontal="right"/>
      <protection hidden="1"/>
    </xf>
    <xf numFmtId="0" fontId="2" fillId="2" borderId="0" xfId="1" applyFont="1" applyFill="1" applyBorder="1" applyAlignment="1">
      <alignment horizontal="left"/>
    </xf>
    <xf numFmtId="0" fontId="1" fillId="2" borderId="0" xfId="1" applyFont="1" applyFill="1"/>
    <xf numFmtId="0" fontId="2" fillId="2" borderId="1" xfId="1" applyFon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2" fillId="2" borderId="0" xfId="1" applyFont="1" applyFill="1" applyBorder="1" applyAlignment="1">
      <alignment horizontal="right"/>
    </xf>
    <xf numFmtId="0" fontId="1" fillId="2" borderId="3" xfId="1" applyFont="1" applyFill="1" applyBorder="1" applyProtection="1">
      <protection locked="0"/>
    </xf>
    <xf numFmtId="2" fontId="1" fillId="2" borderId="0" xfId="1" applyNumberFormat="1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right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left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left"/>
    </xf>
    <xf numFmtId="0" fontId="2" fillId="3" borderId="8" xfId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right"/>
    </xf>
    <xf numFmtId="0" fontId="2" fillId="2" borderId="0" xfId="1" applyFont="1" applyFill="1"/>
    <xf numFmtId="0" fontId="2" fillId="0" borderId="9" xfId="1" quotePrefix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right"/>
    </xf>
    <xf numFmtId="0" fontId="2" fillId="0" borderId="0" xfId="1" applyFont="1" applyFill="1"/>
    <xf numFmtId="0" fontId="2" fillId="0" borderId="14" xfId="1" quotePrefix="1" applyFont="1" applyFill="1" applyBorder="1" applyAlignment="1">
      <alignment horizontal="center"/>
    </xf>
    <xf numFmtId="0" fontId="2" fillId="0" borderId="15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center"/>
    </xf>
    <xf numFmtId="0" fontId="2" fillId="0" borderId="16" xfId="1" applyFont="1" applyFill="1" applyBorder="1" applyAlignment="1" applyProtection="1">
      <alignment horizontal="left"/>
      <protection locked="0"/>
    </xf>
    <xf numFmtId="0" fontId="2" fillId="2" borderId="15" xfId="1" applyFont="1" applyFill="1" applyBorder="1" applyAlignment="1">
      <alignment horizontal="left"/>
    </xf>
    <xf numFmtId="0" fontId="1" fillId="2" borderId="15" xfId="1" applyFont="1" applyFill="1" applyBorder="1"/>
    <xf numFmtId="0" fontId="3" fillId="2" borderId="15" xfId="1" applyFont="1" applyFill="1" applyBorder="1"/>
    <xf numFmtId="2" fontId="1" fillId="0" borderId="0" xfId="1" applyNumberFormat="1" applyFont="1" applyFill="1" applyAlignment="1">
      <alignment horizontal="right"/>
    </xf>
    <xf numFmtId="0" fontId="2" fillId="2" borderId="18" xfId="1" applyFont="1" applyFill="1" applyBorder="1" applyAlignment="1">
      <alignment horizontal="left"/>
    </xf>
    <xf numFmtId="0" fontId="1" fillId="2" borderId="18" xfId="1" applyFont="1" applyFill="1" applyBorder="1"/>
    <xf numFmtId="0" fontId="3" fillId="2" borderId="18" xfId="1" applyFont="1" applyFill="1" applyBorder="1"/>
    <xf numFmtId="3" fontId="2" fillId="2" borderId="12" xfId="1" applyNumberFormat="1" applyFont="1" applyFill="1" applyBorder="1" applyProtection="1">
      <protection locked="0"/>
    </xf>
    <xf numFmtId="0" fontId="1" fillId="0" borderId="19" xfId="1" applyBorder="1"/>
    <xf numFmtId="0" fontId="1" fillId="2" borderId="18" xfId="1" quotePrefix="1" applyFont="1" applyFill="1" applyBorder="1"/>
    <xf numFmtId="2" fontId="2" fillId="2" borderId="20" xfId="1" applyNumberFormat="1" applyFont="1" applyFill="1" applyBorder="1" applyProtection="1">
      <protection locked="0"/>
    </xf>
    <xf numFmtId="2" fontId="2" fillId="2" borderId="19" xfId="1" applyNumberFormat="1" applyFont="1" applyFill="1" applyBorder="1" applyProtection="1"/>
    <xf numFmtId="3" fontId="2" fillId="2" borderId="16" xfId="1" applyNumberFormat="1" applyFont="1" applyFill="1" applyBorder="1" applyProtection="1">
      <protection locked="0"/>
    </xf>
    <xf numFmtId="2" fontId="1" fillId="2" borderId="0" xfId="1" applyNumberFormat="1" applyFont="1" applyFill="1"/>
    <xf numFmtId="0" fontId="2" fillId="2" borderId="16" xfId="1" applyFont="1" applyFill="1" applyBorder="1" applyAlignment="1">
      <alignment horizontal="left"/>
    </xf>
    <xf numFmtId="0" fontId="2" fillId="2" borderId="16" xfId="1" applyFont="1" applyFill="1" applyBorder="1" applyProtection="1">
      <protection locked="0"/>
    </xf>
    <xf numFmtId="2" fontId="1" fillId="2" borderId="21" xfId="1" applyNumberFormat="1" applyFon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1" fillId="2" borderId="22" xfId="1" quotePrefix="1" applyFont="1" applyFill="1" applyBorder="1"/>
    <xf numFmtId="2" fontId="2" fillId="2" borderId="24" xfId="1" applyNumberFormat="1" applyFont="1" applyFill="1" applyBorder="1" applyProtection="1"/>
    <xf numFmtId="0" fontId="1" fillId="2" borderId="0" xfId="1" quotePrefix="1" applyFont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/>
    <xf numFmtId="2" fontId="1" fillId="2" borderId="0" xfId="1" applyNumberFormat="1" applyFont="1" applyFill="1" applyBorder="1"/>
    <xf numFmtId="0" fontId="4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hidden="1"/>
    </xf>
    <xf numFmtId="2" fontId="5" fillId="0" borderId="0" xfId="1" applyNumberFormat="1" applyFont="1" applyAlignment="1" applyProtection="1">
      <alignment horizontal="right"/>
      <protection hidden="1"/>
    </xf>
    <xf numFmtId="0" fontId="2" fillId="3" borderId="25" xfId="1" applyFont="1" applyFill="1" applyBorder="1" applyAlignment="1" applyProtection="1">
      <alignment horizontal="center"/>
      <protection hidden="1"/>
    </xf>
    <xf numFmtId="0" fontId="2" fillId="3" borderId="26" xfId="1" applyFont="1" applyFill="1" applyBorder="1" applyProtection="1">
      <protection hidden="1"/>
    </xf>
    <xf numFmtId="0" fontId="2" fillId="3" borderId="27" xfId="1" applyFont="1" applyFill="1" applyBorder="1" applyProtection="1">
      <protection hidden="1"/>
    </xf>
    <xf numFmtId="0" fontId="2" fillId="3" borderId="28" xfId="1" applyFont="1" applyFill="1" applyBorder="1" applyProtection="1">
      <protection hidden="1"/>
    </xf>
    <xf numFmtId="0" fontId="2" fillId="3" borderId="26" xfId="1" applyFont="1" applyFill="1" applyBorder="1" applyAlignment="1" applyProtection="1">
      <alignment horizontal="center"/>
      <protection hidden="1"/>
    </xf>
    <xf numFmtId="2" fontId="2" fillId="3" borderId="26" xfId="1" applyNumberFormat="1" applyFont="1" applyFill="1" applyBorder="1" applyAlignment="1" applyProtection="1">
      <alignment horizontal="center"/>
      <protection hidden="1"/>
    </xf>
    <xf numFmtId="2" fontId="2" fillId="3" borderId="29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1" fillId="2" borderId="30" xfId="1" quotePrefix="1" applyNumberFormat="1" applyFont="1" applyFill="1" applyBorder="1" applyAlignment="1" applyProtection="1">
      <alignment horizontal="center"/>
      <protection hidden="1"/>
    </xf>
    <xf numFmtId="0" fontId="1" fillId="2" borderId="7" xfId="1" applyFont="1" applyFill="1" applyBorder="1" applyProtection="1">
      <protection hidden="1"/>
    </xf>
    <xf numFmtId="0" fontId="1" fillId="2" borderId="31" xfId="1" applyFont="1" applyFill="1" applyBorder="1" applyProtection="1">
      <protection hidden="1"/>
    </xf>
    <xf numFmtId="0" fontId="1" fillId="2" borderId="8" xfId="1" applyFont="1" applyFill="1" applyBorder="1" applyProtection="1">
      <protection hidden="1"/>
    </xf>
    <xf numFmtId="0" fontId="1" fillId="2" borderId="32" xfId="1" applyFont="1" applyFill="1" applyBorder="1" applyAlignment="1" applyProtection="1">
      <alignment horizontal="center"/>
      <protection hidden="1"/>
    </xf>
    <xf numFmtId="2" fontId="6" fillId="2" borderId="33" xfId="1" applyNumberFormat="1" applyFont="1" applyFill="1" applyBorder="1" applyAlignment="1" applyProtection="1">
      <alignment horizontal="right" shrinkToFit="1"/>
      <protection hidden="1"/>
    </xf>
    <xf numFmtId="0" fontId="1" fillId="2" borderId="32" xfId="1" applyFont="1" applyFill="1" applyBorder="1" applyAlignment="1" applyProtection="1">
      <alignment horizontal="center" shrinkToFit="1"/>
      <protection hidden="1"/>
    </xf>
    <xf numFmtId="2" fontId="6" fillId="0" borderId="33" xfId="1" applyNumberFormat="1" applyFont="1" applyFill="1" applyBorder="1" applyAlignment="1" applyProtection="1">
      <alignment horizontal="right" shrinkToFit="1"/>
      <protection hidden="1"/>
    </xf>
    <xf numFmtId="0" fontId="1" fillId="2" borderId="0" xfId="1" applyFill="1" applyProtection="1">
      <protection hidden="1"/>
    </xf>
    <xf numFmtId="2" fontId="1" fillId="2" borderId="33" xfId="1" applyNumberFormat="1" applyFont="1" applyFill="1" applyBorder="1" applyAlignment="1" applyProtection="1">
      <alignment horizontal="center" shrinkToFit="1"/>
      <protection hidden="1"/>
    </xf>
    <xf numFmtId="165" fontId="1" fillId="2" borderId="32" xfId="1" applyNumberFormat="1" applyFont="1" applyFill="1" applyBorder="1" applyAlignment="1" applyProtection="1">
      <alignment horizontal="center" shrinkToFit="1"/>
      <protection hidden="1"/>
    </xf>
    <xf numFmtId="164" fontId="1" fillId="0" borderId="32" xfId="1" applyNumberFormat="1" applyFont="1" applyFill="1" applyBorder="1" applyAlignment="1" applyProtection="1">
      <alignment horizontal="center" shrinkToFit="1"/>
      <protection hidden="1"/>
    </xf>
    <xf numFmtId="0" fontId="7" fillId="2" borderId="34" xfId="1" applyFont="1" applyFill="1" applyBorder="1" applyProtection="1">
      <protection hidden="1"/>
    </xf>
    <xf numFmtId="0" fontId="1" fillId="2" borderId="35" xfId="1" applyFont="1" applyFill="1" applyBorder="1" applyProtection="1">
      <protection hidden="1"/>
    </xf>
    <xf numFmtId="0" fontId="1" fillId="2" borderId="36" xfId="1" applyFont="1" applyFill="1" applyBorder="1" applyProtection="1">
      <protection hidden="1"/>
    </xf>
    <xf numFmtId="164" fontId="1" fillId="0" borderId="37" xfId="1" applyNumberFormat="1" applyFont="1" applyFill="1" applyBorder="1" applyAlignment="1" applyProtection="1">
      <alignment horizontal="center" shrinkToFit="1"/>
      <protection hidden="1"/>
    </xf>
    <xf numFmtId="165" fontId="1" fillId="2" borderId="35" xfId="1" applyNumberFormat="1" applyFont="1" applyFill="1" applyBorder="1" applyAlignment="1" applyProtection="1">
      <alignment horizontal="center" shrinkToFit="1"/>
      <protection hidden="1"/>
    </xf>
    <xf numFmtId="2" fontId="6" fillId="2" borderId="38" xfId="1" applyNumberFormat="1" applyFont="1" applyFill="1" applyBorder="1" applyAlignment="1" applyProtection="1">
      <alignment horizontal="right" shrinkToFit="1"/>
      <protection hidden="1"/>
    </xf>
    <xf numFmtId="0" fontId="7" fillId="2" borderId="5" xfId="1" applyFont="1" applyFill="1" applyBorder="1" applyAlignment="1" applyProtection="1">
      <alignment horizontal="left"/>
      <protection hidden="1"/>
    </xf>
    <xf numFmtId="0" fontId="7" fillId="2" borderId="6" xfId="1" applyFont="1" applyFill="1" applyBorder="1" applyProtection="1">
      <protection hidden="1"/>
    </xf>
    <xf numFmtId="0" fontId="2" fillId="2" borderId="27" xfId="1" applyFont="1" applyFill="1" applyBorder="1" applyAlignment="1" applyProtection="1">
      <alignment horizontal="center"/>
      <protection hidden="1"/>
    </xf>
    <xf numFmtId="0" fontId="2" fillId="2" borderId="40" xfId="1" applyFont="1" applyFill="1" applyBorder="1" applyProtection="1">
      <protection hidden="1"/>
    </xf>
    <xf numFmtId="0" fontId="2" fillId="2" borderId="41" xfId="1" applyFont="1" applyFill="1" applyBorder="1" applyProtection="1">
      <protection hidden="1"/>
    </xf>
    <xf numFmtId="0" fontId="2" fillId="2" borderId="28" xfId="1" applyFont="1" applyFill="1" applyBorder="1" applyProtection="1">
      <protection hidden="1"/>
    </xf>
    <xf numFmtId="2" fontId="4" fillId="2" borderId="26" xfId="1" applyNumberFormat="1" applyFont="1" applyFill="1" applyBorder="1" applyAlignment="1" applyProtection="1">
      <alignment horizontal="right" shrinkToFit="1"/>
      <protection hidden="1"/>
    </xf>
    <xf numFmtId="0" fontId="2" fillId="2" borderId="21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Protection="1">
      <protection hidden="1"/>
    </xf>
    <xf numFmtId="0" fontId="8" fillId="2" borderId="0" xfId="1" applyFont="1" applyFill="1" applyBorder="1" applyProtection="1">
      <protection hidden="1"/>
    </xf>
    <xf numFmtId="0" fontId="2" fillId="2" borderId="42" xfId="1" applyFont="1" applyFill="1" applyBorder="1" applyProtection="1">
      <protection hidden="1"/>
    </xf>
    <xf numFmtId="2" fontId="9" fillId="2" borderId="0" xfId="1" applyNumberFormat="1" applyFont="1" applyFill="1" applyBorder="1" applyProtection="1">
      <protection hidden="1"/>
    </xf>
    <xf numFmtId="2" fontId="2" fillId="2" borderId="0" xfId="1" applyNumberFormat="1" applyFont="1" applyFill="1" applyProtection="1">
      <protection hidden="1"/>
    </xf>
    <xf numFmtId="0" fontId="4" fillId="2" borderId="32" xfId="1" applyFont="1" applyFill="1" applyBorder="1" applyAlignment="1" applyProtection="1">
      <alignment horizontal="center"/>
      <protection hidden="1"/>
    </xf>
    <xf numFmtId="0" fontId="10" fillId="2" borderId="35" xfId="1" applyFont="1" applyFill="1" applyBorder="1" applyProtection="1">
      <protection hidden="1"/>
    </xf>
    <xf numFmtId="0" fontId="2" fillId="2" borderId="35" xfId="1" applyFont="1" applyFill="1" applyBorder="1" applyProtection="1">
      <protection hidden="1"/>
    </xf>
    <xf numFmtId="0" fontId="2" fillId="2" borderId="36" xfId="1" applyFont="1" applyFill="1" applyBorder="1" applyProtection="1">
      <protection hidden="1"/>
    </xf>
    <xf numFmtId="2" fontId="4" fillId="2" borderId="36" xfId="1" applyNumberFormat="1" applyFont="1" applyFill="1" applyBorder="1" applyAlignment="1" applyProtection="1">
      <alignment horizontal="right" shrinkToFit="1"/>
      <protection hidden="1"/>
    </xf>
    <xf numFmtId="0" fontId="4" fillId="0" borderId="32" xfId="1" applyFont="1" applyBorder="1" applyAlignment="1" applyProtection="1">
      <alignment horizontal="center"/>
      <protection hidden="1"/>
    </xf>
    <xf numFmtId="0" fontId="4" fillId="0" borderId="7" xfId="1" applyFont="1" applyBorder="1" applyAlignment="1" applyProtection="1">
      <alignment horizontal="left"/>
      <protection hidden="1"/>
    </xf>
    <xf numFmtId="0" fontId="2" fillId="0" borderId="31" xfId="1" applyFont="1" applyBorder="1" applyProtection="1">
      <protection hidden="1"/>
    </xf>
    <xf numFmtId="0" fontId="2" fillId="0" borderId="31" xfId="1" applyFont="1" applyBorder="1" applyAlignment="1" applyProtection="1">
      <alignment horizontal="left"/>
      <protection hidden="1"/>
    </xf>
    <xf numFmtId="0" fontId="2" fillId="0" borderId="8" xfId="1" applyFont="1" applyBorder="1" applyProtection="1">
      <protection hidden="1"/>
    </xf>
    <xf numFmtId="2" fontId="4" fillId="0" borderId="32" xfId="1" applyNumberFormat="1" applyFont="1" applyBorder="1" applyAlignment="1" applyProtection="1">
      <alignment horizontal="right" shrinkToFit="1"/>
      <protection hidden="1"/>
    </xf>
    <xf numFmtId="2" fontId="2" fillId="0" borderId="31" xfId="1" applyNumberFormat="1" applyFont="1" applyBorder="1" applyProtection="1">
      <protection hidden="1"/>
    </xf>
    <xf numFmtId="0" fontId="2" fillId="0" borderId="0" xfId="1" applyFont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horizontal="left"/>
      <protection hidden="1"/>
    </xf>
    <xf numFmtId="0" fontId="1" fillId="0" borderId="0" xfId="1" applyFont="1" applyProtection="1">
      <protection hidden="1"/>
    </xf>
    <xf numFmtId="0" fontId="3" fillId="2" borderId="0" xfId="1" applyFont="1" applyFill="1" applyAlignment="1">
      <alignment horizontal="center"/>
    </xf>
    <xf numFmtId="0" fontId="9" fillId="2" borderId="0" xfId="1" applyFont="1" applyFill="1"/>
    <xf numFmtId="0" fontId="3" fillId="2" borderId="0" xfId="1" applyFont="1" applyFill="1"/>
    <xf numFmtId="2" fontId="3" fillId="2" borderId="0" xfId="1" applyNumberFormat="1" applyFont="1" applyFill="1" applyAlignment="1">
      <alignment horizontal="right"/>
    </xf>
    <xf numFmtId="0" fontId="1" fillId="0" borderId="0" xfId="1" applyFont="1" applyAlignment="1" applyProtection="1">
      <alignment horizontal="left"/>
      <protection hidden="1"/>
    </xf>
    <xf numFmtId="2" fontId="1" fillId="0" borderId="0" xfId="1" applyNumberFormat="1" applyFont="1" applyAlignment="1" applyProtection="1">
      <alignment horizontal="right"/>
      <protection hidden="1"/>
    </xf>
    <xf numFmtId="0" fontId="1" fillId="4" borderId="38" xfId="1" applyFont="1" applyFill="1" applyBorder="1" applyAlignment="1" applyProtection="1">
      <alignment horizontal="center"/>
      <protection hidden="1"/>
    </xf>
    <xf numFmtId="0" fontId="1" fillId="4" borderId="43" xfId="1" applyFont="1" applyFill="1" applyBorder="1" applyAlignment="1" applyProtection="1">
      <alignment horizontal="center"/>
      <protection hidden="1"/>
    </xf>
    <xf numFmtId="0" fontId="1" fillId="4" borderId="44" xfId="1" applyFont="1" applyFill="1" applyBorder="1" applyAlignment="1" applyProtection="1">
      <alignment horizontal="center"/>
      <protection hidden="1"/>
    </xf>
    <xf numFmtId="0" fontId="1" fillId="2" borderId="0" xfId="1" applyFont="1" applyFill="1" applyAlignment="1" applyProtection="1">
      <alignment horizontal="center"/>
      <protection hidden="1"/>
    </xf>
    <xf numFmtId="0" fontId="1" fillId="4" borderId="45" xfId="1" applyFont="1" applyFill="1" applyBorder="1" applyAlignment="1" applyProtection="1">
      <alignment horizontal="center"/>
      <protection hidden="1"/>
    </xf>
    <xf numFmtId="0" fontId="1" fillId="4" borderId="46" xfId="1" applyFont="1" applyFill="1" applyBorder="1" applyAlignment="1" applyProtection="1">
      <alignment horizontal="center"/>
      <protection hidden="1"/>
    </xf>
    <xf numFmtId="0" fontId="1" fillId="4" borderId="47" xfId="1" applyFont="1" applyFill="1" applyBorder="1" applyAlignment="1" applyProtection="1">
      <alignment horizontal="center"/>
      <protection hidden="1"/>
    </xf>
    <xf numFmtId="0" fontId="1" fillId="2" borderId="9" xfId="1" applyFont="1" applyFill="1" applyBorder="1" applyProtection="1">
      <protection hidden="1"/>
    </xf>
    <xf numFmtId="0" fontId="1" fillId="2" borderId="10" xfId="1" applyFont="1" applyFill="1" applyBorder="1" applyProtection="1">
      <protection hidden="1"/>
    </xf>
    <xf numFmtId="0" fontId="1" fillId="2" borderId="50" xfId="1" applyFont="1" applyFill="1" applyBorder="1" applyProtection="1">
      <protection hidden="1"/>
    </xf>
    <xf numFmtId="0" fontId="1" fillId="2" borderId="53" xfId="1" applyFont="1" applyFill="1" applyBorder="1" applyProtection="1">
      <protection hidden="1"/>
    </xf>
    <xf numFmtId="0" fontId="1" fillId="2" borderId="18" xfId="1" applyFont="1" applyFill="1" applyBorder="1" applyProtection="1">
      <protection hidden="1"/>
    </xf>
    <xf numFmtId="0" fontId="1" fillId="2" borderId="54" xfId="1" applyFont="1" applyFill="1" applyBorder="1" applyProtection="1">
      <protection hidden="1"/>
    </xf>
    <xf numFmtId="0" fontId="1" fillId="0" borderId="16" xfId="1" applyFont="1" applyBorder="1" applyAlignment="1" applyProtection="1">
      <alignment horizontal="left"/>
      <protection hidden="1"/>
    </xf>
    <xf numFmtId="0" fontId="1" fillId="0" borderId="16" xfId="1" applyBorder="1" applyAlignment="1" applyProtection="1">
      <alignment horizontal="left"/>
      <protection hidden="1"/>
    </xf>
    <xf numFmtId="0" fontId="1" fillId="0" borderId="55" xfId="1" applyFont="1" applyBorder="1" applyAlignment="1" applyProtection="1">
      <alignment horizontal="left"/>
      <protection hidden="1"/>
    </xf>
    <xf numFmtId="0" fontId="1" fillId="0" borderId="56" xfId="1" applyFont="1" applyBorder="1" applyAlignment="1" applyProtection="1">
      <alignment horizontal="center"/>
      <protection hidden="1"/>
    </xf>
    <xf numFmtId="0" fontId="1" fillId="0" borderId="55" xfId="1" applyBorder="1" applyAlignment="1" applyProtection="1">
      <alignment horizontal="left"/>
      <protection hidden="1"/>
    </xf>
    <xf numFmtId="0" fontId="1" fillId="0" borderId="58" xfId="1" applyFont="1" applyFill="1" applyBorder="1" applyProtection="1">
      <protection hidden="1"/>
    </xf>
    <xf numFmtId="0" fontId="1" fillId="0" borderId="59" xfId="1" applyFont="1" applyFill="1" applyBorder="1" applyProtection="1">
      <protection hidden="1"/>
    </xf>
    <xf numFmtId="0" fontId="13" fillId="2" borderId="0" xfId="1" applyFont="1" applyFill="1" applyProtection="1">
      <protection hidden="1"/>
    </xf>
    <xf numFmtId="0" fontId="14" fillId="2" borderId="0" xfId="1" applyFont="1" applyFill="1" applyProtection="1">
      <protection hidden="1"/>
    </xf>
    <xf numFmtId="2" fontId="1" fillId="2" borderId="0" xfId="1" applyNumberFormat="1" applyFont="1" applyFill="1" applyProtection="1">
      <protection hidden="1"/>
    </xf>
    <xf numFmtId="0" fontId="15" fillId="2" borderId="0" xfId="1" applyFont="1" applyFill="1" applyProtection="1">
      <protection hidden="1"/>
    </xf>
    <xf numFmtId="0" fontId="2" fillId="4" borderId="32" xfId="1" applyFont="1" applyFill="1" applyBorder="1" applyAlignment="1" applyProtection="1">
      <alignment horizontal="center"/>
      <protection hidden="1"/>
    </xf>
    <xf numFmtId="0" fontId="2" fillId="4" borderId="32" xfId="1" applyFont="1" applyFill="1" applyBorder="1" applyAlignment="1" applyProtection="1">
      <alignment horizontal="center" shrinkToFit="1"/>
      <protection hidden="1"/>
    </xf>
    <xf numFmtId="2" fontId="2" fillId="4" borderId="32" xfId="1" applyNumberFormat="1" applyFont="1" applyFill="1" applyBorder="1" applyAlignment="1" applyProtection="1">
      <alignment horizontal="right"/>
      <protection hidden="1"/>
    </xf>
    <xf numFmtId="0" fontId="2" fillId="0" borderId="32" xfId="1" applyFont="1" applyFill="1" applyBorder="1" applyAlignment="1" applyProtection="1">
      <alignment horizontal="center"/>
      <protection hidden="1"/>
    </xf>
    <xf numFmtId="0" fontId="2" fillId="0" borderId="32" xfId="1" applyFont="1" applyFill="1" applyBorder="1" applyAlignment="1" applyProtection="1">
      <alignment horizontal="center" shrinkToFit="1"/>
      <protection hidden="1"/>
    </xf>
    <xf numFmtId="2" fontId="2" fillId="0" borderId="32" xfId="1" applyNumberFormat="1" applyFont="1" applyFill="1" applyBorder="1" applyAlignment="1" applyProtection="1">
      <alignment horizontal="right"/>
      <protection hidden="1"/>
    </xf>
    <xf numFmtId="0" fontId="14" fillId="2" borderId="32" xfId="1" applyFont="1" applyFill="1" applyBorder="1" applyProtection="1">
      <protection hidden="1"/>
    </xf>
    <xf numFmtId="2" fontId="14" fillId="2" borderId="32" xfId="1" applyNumberFormat="1" applyFont="1" applyFill="1" applyBorder="1" applyAlignment="1" applyProtection="1">
      <alignment horizontal="center"/>
      <protection hidden="1"/>
    </xf>
    <xf numFmtId="2" fontId="14" fillId="2" borderId="32" xfId="1" applyNumberFormat="1" applyFont="1" applyFill="1" applyBorder="1" applyAlignment="1" applyProtection="1">
      <alignment horizontal="right"/>
      <protection hidden="1"/>
    </xf>
    <xf numFmtId="0" fontId="16" fillId="2" borderId="0" xfId="1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left"/>
      <protection hidden="1"/>
    </xf>
    <xf numFmtId="0" fontId="17" fillId="2" borderId="0" xfId="1" applyFont="1" applyFill="1" applyProtection="1">
      <protection hidden="1"/>
    </xf>
    <xf numFmtId="2" fontId="17" fillId="2" borderId="0" xfId="1" applyNumberFormat="1" applyFont="1" applyFill="1" applyAlignment="1" applyProtection="1">
      <alignment horizontal="right"/>
      <protection hidden="1"/>
    </xf>
    <xf numFmtId="2" fontId="2" fillId="4" borderId="32" xfId="1" applyNumberFormat="1" applyFont="1" applyFill="1" applyBorder="1" applyAlignment="1" applyProtection="1">
      <alignment horizontal="center"/>
      <protection hidden="1"/>
    </xf>
    <xf numFmtId="0" fontId="2" fillId="4" borderId="7" xfId="1" applyFont="1" applyFill="1" applyBorder="1" applyAlignment="1" applyProtection="1">
      <alignment horizontal="center"/>
      <protection hidden="1"/>
    </xf>
    <xf numFmtId="0" fontId="1" fillId="2" borderId="60" xfId="1" applyFont="1" applyFill="1" applyBorder="1" applyProtection="1">
      <protection hidden="1"/>
    </xf>
    <xf numFmtId="2" fontId="1" fillId="2" borderId="61" xfId="1" applyNumberFormat="1" applyFont="1" applyFill="1" applyBorder="1" applyProtection="1">
      <protection hidden="1"/>
    </xf>
    <xf numFmtId="0" fontId="1" fillId="2" borderId="62" xfId="1" applyFont="1" applyFill="1" applyBorder="1" applyProtection="1">
      <protection hidden="1"/>
    </xf>
    <xf numFmtId="2" fontId="1" fillId="2" borderId="63" xfId="1" applyNumberFormat="1" applyFont="1" applyFill="1" applyBorder="1" applyProtection="1">
      <protection hidden="1"/>
    </xf>
    <xf numFmtId="2" fontId="1" fillId="2" borderId="64" xfId="1" applyNumberFormat="1" applyFont="1" applyFill="1" applyBorder="1" applyProtection="1">
      <protection hidden="1"/>
    </xf>
    <xf numFmtId="2" fontId="1" fillId="2" borderId="65" xfId="1" applyNumberFormat="1" applyFont="1" applyFill="1" applyBorder="1" applyProtection="1">
      <protection hidden="1"/>
    </xf>
    <xf numFmtId="0" fontId="1" fillId="2" borderId="66" xfId="1" applyFont="1" applyFill="1" applyBorder="1" applyProtection="1">
      <protection hidden="1"/>
    </xf>
    <xf numFmtId="2" fontId="1" fillId="2" borderId="58" xfId="1" applyNumberFormat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2" fontId="1" fillId="2" borderId="0" xfId="1" applyNumberFormat="1" applyFont="1" applyFill="1" applyBorder="1" applyAlignment="1" applyProtection="1">
      <alignment horizontal="right"/>
      <protection hidden="1"/>
    </xf>
    <xf numFmtId="0" fontId="1" fillId="4" borderId="32" xfId="1" applyFont="1" applyFill="1" applyBorder="1" applyAlignment="1" applyProtection="1">
      <alignment horizontal="center"/>
      <protection hidden="1"/>
    </xf>
    <xf numFmtId="0" fontId="1" fillId="4" borderId="7" xfId="1" applyFont="1" applyFill="1" applyBorder="1" applyProtection="1">
      <protection hidden="1"/>
    </xf>
    <xf numFmtId="0" fontId="1" fillId="4" borderId="31" xfId="1" applyFont="1" applyFill="1" applyBorder="1" applyProtection="1">
      <protection hidden="1"/>
    </xf>
    <xf numFmtId="2" fontId="1" fillId="4" borderId="32" xfId="1" applyNumberFormat="1" applyFont="1" applyFill="1" applyBorder="1" applyAlignment="1" applyProtection="1">
      <alignment horizontal="right"/>
      <protection hidden="1"/>
    </xf>
    <xf numFmtId="0" fontId="1" fillId="2" borderId="60" xfId="1" quotePrefix="1" applyFont="1" applyFill="1" applyBorder="1" applyAlignment="1" applyProtection="1">
      <alignment horizontal="center"/>
      <protection hidden="1"/>
    </xf>
    <xf numFmtId="0" fontId="2" fillId="2" borderId="61" xfId="1" applyFont="1" applyFill="1" applyBorder="1" applyProtection="1">
      <protection hidden="1"/>
    </xf>
    <xf numFmtId="0" fontId="1" fillId="2" borderId="67" xfId="1" applyFont="1" applyFill="1" applyBorder="1" applyProtection="1">
      <protection hidden="1"/>
    </xf>
    <xf numFmtId="0" fontId="1" fillId="2" borderId="68" xfId="1" applyFont="1" applyFill="1" applyBorder="1" applyProtection="1">
      <protection hidden="1"/>
    </xf>
    <xf numFmtId="2" fontId="1" fillId="2" borderId="60" xfId="1" applyNumberFormat="1" applyFont="1" applyFill="1" applyBorder="1" applyProtection="1">
      <protection hidden="1"/>
    </xf>
    <xf numFmtId="2" fontId="1" fillId="0" borderId="60" xfId="1" applyNumberFormat="1" applyFont="1" applyBorder="1" applyAlignment="1" applyProtection="1">
      <alignment horizontal="right"/>
      <protection hidden="1"/>
    </xf>
    <xf numFmtId="0" fontId="1" fillId="2" borderId="69" xfId="1" quotePrefix="1" applyFont="1" applyFill="1" applyBorder="1" applyAlignment="1" applyProtection="1">
      <alignment horizontal="center"/>
      <protection hidden="1"/>
    </xf>
    <xf numFmtId="0" fontId="2" fillId="2" borderId="21" xfId="1" applyFont="1" applyFill="1" applyBorder="1" applyProtection="1">
      <protection hidden="1"/>
    </xf>
    <xf numFmtId="0" fontId="1" fillId="2" borderId="42" xfId="1" applyFont="1" applyFill="1" applyBorder="1" applyProtection="1">
      <protection hidden="1"/>
    </xf>
    <xf numFmtId="0" fontId="1" fillId="2" borderId="69" xfId="1" applyFont="1" applyFill="1" applyBorder="1" applyProtection="1">
      <protection hidden="1"/>
    </xf>
    <xf numFmtId="2" fontId="1" fillId="0" borderId="69" xfId="1" applyNumberFormat="1" applyFont="1" applyBorder="1" applyAlignment="1" applyProtection="1">
      <alignment horizontal="right"/>
      <protection hidden="1"/>
    </xf>
    <xf numFmtId="0" fontId="1" fillId="2" borderId="69" xfId="1" applyFont="1" applyFill="1" applyBorder="1" applyAlignment="1" applyProtection="1">
      <alignment horizontal="center"/>
      <protection hidden="1"/>
    </xf>
    <xf numFmtId="0" fontId="1" fillId="2" borderId="70" xfId="1" applyFont="1" applyFill="1" applyBorder="1" applyAlignment="1" applyProtection="1">
      <alignment horizontal="center"/>
      <protection hidden="1"/>
    </xf>
    <xf numFmtId="0" fontId="1" fillId="2" borderId="22" xfId="1" applyFont="1" applyFill="1" applyBorder="1" applyProtection="1">
      <protection hidden="1"/>
    </xf>
    <xf numFmtId="0" fontId="1" fillId="2" borderId="71" xfId="1" applyFont="1" applyFill="1" applyBorder="1" applyProtection="1">
      <protection hidden="1"/>
    </xf>
    <xf numFmtId="0" fontId="1" fillId="2" borderId="70" xfId="1" applyFont="1" applyFill="1" applyBorder="1" applyProtection="1">
      <protection hidden="1"/>
    </xf>
    <xf numFmtId="2" fontId="1" fillId="0" borderId="70" xfId="1" applyNumberFormat="1" applyFont="1" applyBorder="1" applyAlignment="1" applyProtection="1">
      <alignment horizontal="right"/>
      <protection hidden="1"/>
    </xf>
    <xf numFmtId="2" fontId="1" fillId="0" borderId="0" xfId="1" applyNumberFormat="1" applyFont="1" applyProtection="1">
      <protection hidden="1"/>
    </xf>
    <xf numFmtId="2" fontId="1" fillId="0" borderId="0" xfId="1" applyNumberFormat="1" applyFont="1" applyAlignment="1" applyProtection="1">
      <alignment horizontal="center"/>
      <protection hidden="1"/>
    </xf>
    <xf numFmtId="2" fontId="2" fillId="4" borderId="7" xfId="1" applyNumberFormat="1" applyFont="1" applyFill="1" applyBorder="1" applyAlignment="1" applyProtection="1">
      <alignment horizontal="right"/>
      <protection hidden="1"/>
    </xf>
    <xf numFmtId="0" fontId="1" fillId="0" borderId="72" xfId="1" applyFont="1" applyBorder="1"/>
    <xf numFmtId="0" fontId="1" fillId="0" borderId="35" xfId="1" applyFont="1" applyBorder="1"/>
    <xf numFmtId="2" fontId="1" fillId="0" borderId="35" xfId="1" applyNumberFormat="1" applyFont="1" applyBorder="1" applyAlignment="1">
      <alignment horizontal="right"/>
    </xf>
    <xf numFmtId="2" fontId="1" fillId="0" borderId="36" xfId="1" applyNumberFormat="1" applyFont="1" applyBorder="1" applyAlignment="1" applyProtection="1">
      <alignment horizontal="center"/>
      <protection hidden="1"/>
    </xf>
    <xf numFmtId="0" fontId="1" fillId="0" borderId="32" xfId="1" applyFont="1" applyFill="1" applyBorder="1" applyAlignment="1" applyProtection="1">
      <alignment horizontal="center"/>
      <protection hidden="1"/>
    </xf>
    <xf numFmtId="2" fontId="1" fillId="0" borderId="7" xfId="1" applyNumberFormat="1" applyFont="1" applyFill="1" applyBorder="1" applyAlignment="1" applyProtection="1">
      <alignment horizontal="right"/>
      <protection hidden="1"/>
    </xf>
    <xf numFmtId="0" fontId="1" fillId="0" borderId="73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2" fontId="1" fillId="0" borderId="42" xfId="1" applyNumberFormat="1" applyFont="1" applyBorder="1" applyAlignment="1">
      <alignment horizontal="center"/>
    </xf>
    <xf numFmtId="2" fontId="14" fillId="2" borderId="7" xfId="1" applyNumberFormat="1" applyFont="1" applyFill="1" applyBorder="1" applyAlignment="1" applyProtection="1">
      <alignment horizontal="right"/>
      <protection hidden="1"/>
    </xf>
    <xf numFmtId="3" fontId="1" fillId="0" borderId="42" xfId="1" applyNumberFormat="1" applyFont="1" applyBorder="1" applyAlignment="1">
      <alignment horizontal="center"/>
    </xf>
    <xf numFmtId="0" fontId="2" fillId="0" borderId="0" xfId="1" applyFont="1"/>
    <xf numFmtId="0" fontId="1" fillId="0" borderId="74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2" xfId="1" applyFont="1" applyBorder="1"/>
    <xf numFmtId="3" fontId="1" fillId="0" borderId="71" xfId="1" applyNumberFormat="1" applyFont="1" applyBorder="1" applyAlignment="1">
      <alignment horizontal="center"/>
    </xf>
    <xf numFmtId="0" fontId="1" fillId="0" borderId="75" xfId="1" applyFont="1" applyBorder="1"/>
    <xf numFmtId="0" fontId="1" fillId="0" borderId="31" xfId="1" applyFont="1" applyBorder="1"/>
    <xf numFmtId="0" fontId="1" fillId="0" borderId="8" xfId="1" applyFont="1" applyBorder="1" applyAlignment="1">
      <alignment horizontal="center"/>
    </xf>
    <xf numFmtId="3" fontId="1" fillId="0" borderId="32" xfId="1" applyNumberFormat="1" applyFont="1" applyBorder="1" applyAlignment="1">
      <alignment horizontal="center"/>
    </xf>
    <xf numFmtId="0" fontId="3" fillId="0" borderId="32" xfId="1" applyFont="1" applyFill="1" applyBorder="1" applyAlignment="1" applyProtection="1">
      <alignment horizontal="left"/>
      <protection hidden="1"/>
    </xf>
    <xf numFmtId="0" fontId="3" fillId="0" borderId="32" xfId="1" applyFont="1" applyFill="1" applyBorder="1" applyAlignment="1" applyProtection="1">
      <alignment horizontal="center"/>
      <protection hidden="1"/>
    </xf>
    <xf numFmtId="2" fontId="3" fillId="0" borderId="7" xfId="1" applyNumberFormat="1" applyFont="1" applyFill="1" applyBorder="1" applyAlignment="1" applyProtection="1">
      <alignment horizontal="right"/>
      <protection hidden="1"/>
    </xf>
    <xf numFmtId="3" fontId="1" fillId="0" borderId="8" xfId="1" applyNumberFormat="1" applyFont="1" applyBorder="1" applyAlignment="1">
      <alignment horizontal="center"/>
    </xf>
    <xf numFmtId="0" fontId="14" fillId="2" borderId="32" xfId="1" applyFont="1" applyFill="1" applyBorder="1" applyAlignment="1" applyProtection="1">
      <alignment horizontal="left"/>
      <protection hidden="1"/>
    </xf>
    <xf numFmtId="0" fontId="2" fillId="0" borderId="0" xfId="1" applyFont="1" applyAlignment="1">
      <alignment horizontal="left"/>
    </xf>
    <xf numFmtId="0" fontId="1" fillId="0" borderId="76" xfId="1" applyFont="1" applyBorder="1"/>
    <xf numFmtId="0" fontId="1" fillId="0" borderId="77" xfId="1" applyFont="1" applyBorder="1" applyAlignment="1">
      <alignment horizontal="left"/>
    </xf>
    <xf numFmtId="0" fontId="1" fillId="0" borderId="77" xfId="1" applyFont="1" applyBorder="1"/>
    <xf numFmtId="2" fontId="1" fillId="0" borderId="78" xfId="1" applyNumberFormat="1" applyFont="1" applyBorder="1" applyAlignment="1">
      <alignment horizontal="right"/>
    </xf>
    <xf numFmtId="0" fontId="1" fillId="0" borderId="47" xfId="1" applyFont="1" applyBorder="1"/>
    <xf numFmtId="0" fontId="1" fillId="0" borderId="0" xfId="1" applyFont="1" applyBorder="1" applyAlignment="1">
      <alignment horizontal="left"/>
    </xf>
    <xf numFmtId="2" fontId="1" fillId="0" borderId="46" xfId="1" applyNumberFormat="1" applyFont="1" applyBorder="1" applyAlignment="1">
      <alignment horizontal="right"/>
    </xf>
    <xf numFmtId="0" fontId="1" fillId="0" borderId="79" xfId="1" applyFont="1" applyBorder="1"/>
    <xf numFmtId="0" fontId="1" fillId="0" borderId="80" xfId="1" applyFont="1" applyBorder="1" applyAlignment="1">
      <alignment horizontal="left"/>
    </xf>
    <xf numFmtId="0" fontId="1" fillId="0" borderId="80" xfId="1" applyFont="1" applyBorder="1"/>
    <xf numFmtId="2" fontId="1" fillId="0" borderId="81" xfId="1" applyNumberFormat="1" applyFont="1" applyBorder="1" applyAlignment="1">
      <alignment horizontal="right"/>
    </xf>
    <xf numFmtId="2" fontId="1" fillId="0" borderId="0" xfId="1" applyNumberFormat="1" applyFont="1" applyAlignment="1">
      <alignment horizontal="center"/>
    </xf>
    <xf numFmtId="0" fontId="1" fillId="0" borderId="78" xfId="1" applyFont="1" applyBorder="1"/>
    <xf numFmtId="2" fontId="2" fillId="4" borderId="7" xfId="1" applyNumberFormat="1" applyFont="1" applyFill="1" applyBorder="1" applyAlignment="1" applyProtection="1">
      <alignment horizontal="center"/>
      <protection hidden="1"/>
    </xf>
    <xf numFmtId="0" fontId="1" fillId="0" borderId="46" xfId="1" applyFont="1" applyBorder="1"/>
    <xf numFmtId="0" fontId="14" fillId="0" borderId="32" xfId="1" applyFont="1" applyFill="1" applyBorder="1" applyAlignment="1" applyProtection="1">
      <alignment horizontal="center"/>
      <protection hidden="1"/>
    </xf>
    <xf numFmtId="2" fontId="14" fillId="0" borderId="7" xfId="1" applyNumberFormat="1" applyFont="1" applyFill="1" applyBorder="1" applyAlignment="1" applyProtection="1">
      <alignment horizontal="center"/>
      <protection hidden="1"/>
    </xf>
    <xf numFmtId="0" fontId="1" fillId="0" borderId="81" xfId="1" applyFont="1" applyBorder="1"/>
    <xf numFmtId="0" fontId="14" fillId="2" borderId="32" xfId="1" applyFont="1" applyFill="1" applyBorder="1" applyAlignment="1" applyProtection="1">
      <alignment horizontal="center"/>
      <protection hidden="1"/>
    </xf>
    <xf numFmtId="2" fontId="14" fillId="2" borderId="7" xfId="1" applyNumberFormat="1" applyFont="1" applyFill="1" applyBorder="1" applyAlignment="1" applyProtection="1">
      <alignment horizontal="center"/>
      <protection hidden="1"/>
    </xf>
    <xf numFmtId="0" fontId="1" fillId="0" borderId="0" xfId="1"/>
    <xf numFmtId="0" fontId="1" fillId="0" borderId="0" xfId="1" applyAlignment="1">
      <alignment horizontal="left"/>
    </xf>
    <xf numFmtId="1" fontId="1" fillId="0" borderId="0" xfId="1" applyNumberFormat="1" applyFont="1"/>
    <xf numFmtId="0" fontId="14" fillId="0" borderId="32" xfId="1" applyFont="1" applyFill="1" applyBorder="1" applyAlignment="1" applyProtection="1">
      <alignment horizontal="right"/>
      <protection hidden="1"/>
    </xf>
    <xf numFmtId="2" fontId="14" fillId="0" borderId="7" xfId="1" applyNumberFormat="1" applyFont="1" applyFill="1" applyBorder="1" applyAlignment="1" applyProtection="1">
      <alignment horizontal="right"/>
      <protection hidden="1"/>
    </xf>
    <xf numFmtId="0" fontId="18" fillId="0" borderId="7" xfId="1" applyFont="1" applyBorder="1" applyAlignment="1" applyProtection="1">
      <alignment horizontal="left"/>
      <protection hidden="1"/>
    </xf>
    <xf numFmtId="164" fontId="1" fillId="2" borderId="32" xfId="1" applyNumberFormat="1" applyFont="1" applyFill="1" applyBorder="1" applyAlignment="1" applyProtection="1">
      <alignment horizontal="center"/>
      <protection hidden="1"/>
    </xf>
    <xf numFmtId="164" fontId="1" fillId="2" borderId="32" xfId="1" applyNumberFormat="1" applyFont="1" applyFill="1" applyBorder="1" applyAlignment="1" applyProtection="1">
      <alignment horizontal="center" shrinkToFit="1"/>
      <protection hidden="1"/>
    </xf>
    <xf numFmtId="164" fontId="1" fillId="2" borderId="33" xfId="1" applyNumberFormat="1" applyFont="1" applyFill="1" applyBorder="1" applyAlignment="1" applyProtection="1">
      <alignment horizontal="center" shrinkToFit="1"/>
      <protection hidden="1"/>
    </xf>
    <xf numFmtId="0" fontId="1" fillId="2" borderId="31" xfId="1" applyFont="1" applyFill="1" applyBorder="1" applyAlignment="1" applyProtection="1">
      <alignment shrinkToFit="1"/>
      <protection hidden="1"/>
    </xf>
    <xf numFmtId="2" fontId="1" fillId="2" borderId="32" xfId="1" applyNumberFormat="1" applyFont="1" applyFill="1" applyBorder="1" applyAlignment="1" applyProtection="1">
      <alignment horizontal="right" shrinkToFit="1"/>
      <protection hidden="1"/>
    </xf>
    <xf numFmtId="0" fontId="1" fillId="2" borderId="82" xfId="1" applyFont="1" applyFill="1" applyBorder="1" applyProtection="1">
      <protection hidden="1"/>
    </xf>
    <xf numFmtId="0" fontId="1" fillId="2" borderId="83" xfId="1" applyFont="1" applyFill="1" applyBorder="1" applyProtection="1">
      <protection hidden="1"/>
    </xf>
    <xf numFmtId="0" fontId="1" fillId="2" borderId="84" xfId="1" applyFont="1" applyFill="1" applyBorder="1" applyProtection="1">
      <protection hidden="1"/>
    </xf>
    <xf numFmtId="0" fontId="1" fillId="0" borderId="63" xfId="1" applyFont="1" applyFill="1" applyBorder="1" applyProtection="1">
      <protection hidden="1"/>
    </xf>
    <xf numFmtId="0" fontId="1" fillId="0" borderId="17" xfId="1" applyFont="1" applyFill="1" applyBorder="1" applyProtection="1">
      <protection hidden="1"/>
    </xf>
    <xf numFmtId="0" fontId="1" fillId="0" borderId="0" xfId="1" applyFont="1" applyBorder="1" applyAlignment="1" applyProtection="1">
      <alignment horizontal="center"/>
      <protection hidden="1"/>
    </xf>
    <xf numFmtId="2" fontId="1" fillId="4" borderId="37" xfId="1" applyNumberFormat="1" applyFont="1" applyFill="1" applyBorder="1" applyAlignment="1" applyProtection="1">
      <alignment horizontal="right"/>
      <protection hidden="1"/>
    </xf>
    <xf numFmtId="2" fontId="1" fillId="4" borderId="85" xfId="1" applyNumberFormat="1" applyFont="1" applyFill="1" applyBorder="1" applyAlignment="1" applyProtection="1">
      <alignment horizontal="right"/>
      <protection hidden="1"/>
    </xf>
    <xf numFmtId="2" fontId="1" fillId="2" borderId="42" xfId="1" applyNumberFormat="1" applyFont="1" applyFill="1" applyBorder="1" applyAlignment="1" applyProtection="1">
      <alignment horizontal="right" shrinkToFit="1"/>
      <protection hidden="1"/>
    </xf>
    <xf numFmtId="0" fontId="1" fillId="2" borderId="21" xfId="1" quotePrefix="1" applyFont="1" applyFill="1" applyBorder="1" applyProtection="1">
      <protection hidden="1"/>
    </xf>
    <xf numFmtId="2" fontId="1" fillId="2" borderId="42" xfId="1" applyNumberFormat="1" applyFont="1" applyFill="1" applyBorder="1" applyAlignment="1" applyProtection="1">
      <alignment horizontal="right"/>
      <protection hidden="1"/>
    </xf>
    <xf numFmtId="0" fontId="1" fillId="2" borderId="57" xfId="1" applyFont="1" applyFill="1" applyBorder="1" applyProtection="1">
      <protection hidden="1"/>
    </xf>
    <xf numFmtId="2" fontId="1" fillId="2" borderId="71" xfId="1" applyNumberFormat="1" applyFont="1" applyFill="1" applyBorder="1" applyAlignment="1" applyProtection="1">
      <alignment horizontal="right"/>
      <protection hidden="1"/>
    </xf>
    <xf numFmtId="0" fontId="1" fillId="0" borderId="64" xfId="1" applyFont="1" applyFill="1" applyBorder="1" applyProtection="1">
      <protection hidden="1"/>
    </xf>
    <xf numFmtId="0" fontId="1" fillId="0" borderId="56" xfId="1" applyFont="1" applyFill="1" applyBorder="1" applyProtection="1">
      <protection hidden="1"/>
    </xf>
    <xf numFmtId="0" fontId="2" fillId="0" borderId="17" xfId="1" applyFont="1" applyFill="1" applyBorder="1" applyAlignment="1" applyProtection="1">
      <alignment horizontal="center"/>
      <protection locked="0"/>
    </xf>
    <xf numFmtId="0" fontId="1" fillId="0" borderId="17" xfId="1" applyFont="1" applyBorder="1" applyAlignment="1" applyProtection="1">
      <alignment horizontal="center"/>
      <protection hidden="1"/>
    </xf>
    <xf numFmtId="0" fontId="2" fillId="2" borderId="23" xfId="1" applyFont="1" applyFill="1" applyBorder="1" applyProtection="1">
      <protection locked="0"/>
    </xf>
    <xf numFmtId="0" fontId="1" fillId="2" borderId="39" xfId="1" applyFill="1" applyBorder="1" applyProtection="1">
      <protection hidden="1"/>
    </xf>
    <xf numFmtId="0" fontId="1" fillId="2" borderId="4" xfId="1" applyFill="1" applyBorder="1" applyAlignment="1" applyProtection="1">
      <alignment horizontal="left" shrinkToFit="1"/>
      <protection hidden="1"/>
    </xf>
    <xf numFmtId="2" fontId="6" fillId="2" borderId="86" xfId="1" applyNumberFormat="1" applyFont="1" applyFill="1" applyBorder="1" applyAlignment="1" applyProtection="1">
      <alignment horizontal="right" shrinkToFit="1"/>
      <protection hidden="1"/>
    </xf>
    <xf numFmtId="0" fontId="20" fillId="0" borderId="0" xfId="0" applyFont="1"/>
    <xf numFmtId="0" fontId="1" fillId="0" borderId="16" xfId="1" applyFont="1" applyBorder="1" applyAlignment="1" applyProtection="1">
      <alignment horizontal="center"/>
      <protection hidden="1"/>
    </xf>
    <xf numFmtId="0" fontId="1" fillId="0" borderId="17" xfId="1" applyFont="1" applyBorder="1" applyAlignment="1" applyProtection="1">
      <alignment horizontal="center"/>
      <protection hidden="1"/>
    </xf>
    <xf numFmtId="0" fontId="1" fillId="0" borderId="51" xfId="1" applyFont="1" applyBorder="1" applyAlignment="1" applyProtection="1">
      <alignment horizontal="center"/>
      <protection hidden="1"/>
    </xf>
    <xf numFmtId="0" fontId="1" fillId="0" borderId="52" xfId="1" applyFont="1" applyBorder="1" applyAlignment="1" applyProtection="1">
      <alignment horizontal="center"/>
      <protection hidden="1"/>
    </xf>
    <xf numFmtId="0" fontId="1" fillId="4" borderId="48" xfId="1" applyFont="1" applyFill="1" applyBorder="1" applyAlignment="1" applyProtection="1">
      <alignment horizontal="center"/>
      <protection hidden="1"/>
    </xf>
    <xf numFmtId="0" fontId="1" fillId="4" borderId="49" xfId="1" applyFont="1" applyFill="1" applyBorder="1" applyAlignment="1" applyProtection="1">
      <alignment horizontal="center"/>
      <protection hidden="1"/>
    </xf>
    <xf numFmtId="0" fontId="2" fillId="0" borderId="12" xfId="1" applyFont="1" applyFill="1" applyBorder="1" applyAlignment="1" applyProtection="1">
      <alignment horizontal="center" shrinkToFit="1"/>
      <protection locked="0"/>
    </xf>
    <xf numFmtId="0" fontId="2" fillId="0" borderId="13" xfId="1" applyFont="1" applyFill="1" applyBorder="1" applyAlignment="1" applyProtection="1">
      <alignment horizontal="center" shrinkToFit="1"/>
      <protection locked="0"/>
    </xf>
    <xf numFmtId="0" fontId="2" fillId="0" borderId="16" xfId="1" applyFont="1" applyFill="1" applyBorder="1" applyAlignment="1" applyProtection="1">
      <alignment horizontal="center"/>
      <protection locked="0"/>
    </xf>
    <xf numFmtId="0" fontId="2" fillId="0" borderId="17" xfId="1" applyFont="1" applyFill="1" applyBorder="1" applyAlignment="1" applyProtection="1">
      <alignment horizontal="center"/>
      <protection locked="0"/>
    </xf>
    <xf numFmtId="0" fontId="2" fillId="2" borderId="16" xfId="1" applyFont="1" applyFill="1" applyBorder="1" applyAlignment="1" applyProtection="1">
      <alignment horizontal="center" shrinkToFit="1"/>
      <protection locked="0"/>
    </xf>
    <xf numFmtId="0" fontId="2" fillId="2" borderId="17" xfId="1" applyFont="1" applyFill="1" applyBorder="1" applyAlignment="1" applyProtection="1">
      <alignment horizontal="center" shrinkToFit="1"/>
      <protection locked="0"/>
    </xf>
    <xf numFmtId="0" fontId="2" fillId="2" borderId="16" xfId="1" applyFont="1" applyFill="1" applyBorder="1" applyAlignment="1" applyProtection="1">
      <alignment horizontal="center"/>
      <protection locked="0"/>
    </xf>
    <xf numFmtId="0" fontId="2" fillId="2" borderId="17" xfId="1" applyFont="1" applyFill="1" applyBorder="1" applyAlignment="1" applyProtection="1">
      <alignment horizontal="center"/>
      <protection locked="0"/>
    </xf>
    <xf numFmtId="0" fontId="1" fillId="4" borderId="34" xfId="1" applyFont="1" applyFill="1" applyBorder="1" applyAlignment="1" applyProtection="1">
      <alignment horizontal="center"/>
      <protection hidden="1"/>
    </xf>
    <xf numFmtId="0" fontId="1" fillId="4" borderId="36" xfId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3</xdr:col>
      <xdr:colOff>352425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0F9618-F8D2-4311-92AA-5C731996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0"/>
          <a:ext cx="775335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4</xdr:row>
      <xdr:rowOff>114300</xdr:rowOff>
    </xdr:from>
    <xdr:to>
      <xdr:col>3</xdr:col>
      <xdr:colOff>1085850</xdr:colOff>
      <xdr:row>10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7E56D8B-17FE-4138-89B7-BD4A47038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71750" y="739140"/>
          <a:ext cx="1493520" cy="822960"/>
        </a:xfrm>
        <a:prstGeom prst="rect">
          <a:avLst/>
        </a:prstGeom>
      </xdr:spPr>
      <xdr:txBody>
        <a:bodyPr wrap="none" fromWordArt="1">
          <a:prstTxWarp prst="textStop">
            <a:avLst>
              <a:gd name="adj" fmla="val 22222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a-IR" sz="1200" kern="10" spc="0">
              <a:ln w="9525">
                <a:round/>
                <a:headEnd/>
                <a:tailEnd/>
              </a:ln>
              <a:solidFill>
                <a:srgbClr val="000080"/>
              </a:solidFill>
              <a:effectLst/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333375</xdr:colOff>
      <xdr:row>4</xdr:row>
      <xdr:rowOff>133350</xdr:rowOff>
    </xdr:from>
    <xdr:to>
      <xdr:col>3</xdr:col>
      <xdr:colOff>1076325</xdr:colOff>
      <xdr:row>10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46700C28-25D1-4D85-A6D0-D615867D0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62225" y="758190"/>
          <a:ext cx="1501140" cy="803910"/>
        </a:xfrm>
        <a:prstGeom prst="rect">
          <a:avLst/>
        </a:prstGeom>
      </xdr:spPr>
      <xdr:txBody>
        <a:bodyPr wrap="none" fromWordArt="1">
          <a:prstTxWarp prst="textTriangle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Arial"/>
              <a:cs typeface="Arial"/>
            </a:rPr>
            <a:t>Star Marine Services Ltd.</a:t>
          </a:r>
          <a:endParaRPr lang="fa-IR" sz="1200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45791" dir="2021404" algn="ctr" rotWithShape="0">
                <a:srgbClr val="C0C0C0"/>
              </a:outerShdw>
            </a:effectLst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CFED-B92B-4C40-BE25-6BBD7BD24F35}">
  <dimension ref="A1:H168"/>
  <sheetViews>
    <sheetView showGridLines="0" showZeros="0" tabSelected="1" view="pageLayout" workbookViewId="0">
      <selection activeCell="C170" sqref="C170"/>
    </sheetView>
  </sheetViews>
  <sheetFormatPr defaultColWidth="9.1015625" defaultRowHeight="14.4" x14ac:dyDescent="0.55000000000000004"/>
  <cols>
    <col min="1" max="1" width="8.734375" customWidth="1"/>
    <col min="2" max="2" width="22.3671875" customWidth="1"/>
    <col min="3" max="3" width="16" customWidth="1"/>
    <col min="4" max="4" width="9.62890625" customWidth="1"/>
    <col min="5" max="5" width="16.3671875" customWidth="1"/>
    <col min="6" max="6" width="15.62890625" customWidth="1"/>
    <col min="7" max="7" width="15.26171875" customWidth="1"/>
    <col min="10" max="10" width="10.1015625" bestFit="1" customWidth="1"/>
  </cols>
  <sheetData>
    <row r="1" spans="1:7" s="1" customFormat="1" ht="12.3" x14ac:dyDescent="0.4">
      <c r="G1" s="2"/>
    </row>
    <row r="2" spans="1:7" s="1" customFormat="1" ht="12.3" x14ac:dyDescent="0.4">
      <c r="G2" s="2"/>
    </row>
    <row r="3" spans="1:7" s="1" customFormat="1" ht="12.3" x14ac:dyDescent="0.4">
      <c r="G3" s="2"/>
    </row>
    <row r="4" spans="1:7" s="1" customFormat="1" ht="12.3" x14ac:dyDescent="0.4">
      <c r="G4" s="2"/>
    </row>
    <row r="5" spans="1:7" s="1" customFormat="1" ht="12.3" x14ac:dyDescent="0.4">
      <c r="G5" s="2"/>
    </row>
    <row r="6" spans="1:7" s="1" customFormat="1" ht="12.3" x14ac:dyDescent="0.4">
      <c r="G6" s="2"/>
    </row>
    <row r="7" spans="1:7" s="1" customFormat="1" ht="12.3" x14ac:dyDescent="0.4">
      <c r="G7" s="2"/>
    </row>
    <row r="8" spans="1:7" s="1" customFormat="1" ht="12.3" x14ac:dyDescent="0.4">
      <c r="G8" s="2"/>
    </row>
    <row r="9" spans="1:7" s="1" customFormat="1" ht="12.3" x14ac:dyDescent="0.4">
      <c r="G9" s="2"/>
    </row>
    <row r="10" spans="1:7" s="1" customFormat="1" ht="12.3" x14ac:dyDescent="0.4">
      <c r="G10" s="2"/>
    </row>
    <row r="11" spans="1:7" s="1" customFormat="1" ht="12.3" x14ac:dyDescent="0.4">
      <c r="G11" s="2"/>
    </row>
    <row r="12" spans="1:7" s="1" customFormat="1" ht="12.3" x14ac:dyDescent="0.4">
      <c r="G12" s="2"/>
    </row>
    <row r="13" spans="1:7" s="4" customFormat="1" ht="17.25" customHeight="1" x14ac:dyDescent="0.4">
      <c r="A13" s="3" t="s">
        <v>0</v>
      </c>
      <c r="C13" s="5"/>
      <c r="D13" s="6"/>
      <c r="E13" s="7" t="s">
        <v>1</v>
      </c>
      <c r="F13" s="8" t="s">
        <v>2</v>
      </c>
      <c r="G13" s="9"/>
    </row>
    <row r="14" spans="1:7" ht="14.7" thickBot="1" x14ac:dyDescent="0.6">
      <c r="A14" s="10"/>
      <c r="B14" s="11"/>
      <c r="C14" s="10"/>
      <c r="D14" s="10"/>
      <c r="E14" s="10"/>
      <c r="F14" s="10"/>
      <c r="G14" s="12"/>
    </row>
    <row r="15" spans="1:7" s="19" customFormat="1" ht="12.9" thickTop="1" thickBot="1" x14ac:dyDescent="0.45">
      <c r="A15" s="13" t="s">
        <v>3</v>
      </c>
      <c r="B15" s="14" t="s">
        <v>2</v>
      </c>
      <c r="C15" s="15" t="s">
        <v>4</v>
      </c>
      <c r="D15" s="15"/>
      <c r="E15" s="16" t="s">
        <v>5</v>
      </c>
      <c r="F15" s="17"/>
      <c r="G15" s="18"/>
    </row>
    <row r="16" spans="1:7" s="25" customFormat="1" ht="12.3" x14ac:dyDescent="0.4">
      <c r="A16" s="20" t="s">
        <v>6</v>
      </c>
      <c r="B16" s="21" t="s">
        <v>7</v>
      </c>
      <c r="C16" s="22"/>
      <c r="D16" s="23"/>
      <c r="E16" s="278"/>
      <c r="F16" s="279"/>
      <c r="G16" s="24"/>
    </row>
    <row r="17" spans="1:7" s="25" customFormat="1" ht="14.25" customHeight="1" x14ac:dyDescent="0.4">
      <c r="A17" s="26" t="s">
        <v>9</v>
      </c>
      <c r="B17" s="27" t="s">
        <v>10</v>
      </c>
      <c r="C17" s="28"/>
      <c r="D17" s="28" t="s">
        <v>2</v>
      </c>
      <c r="E17" s="280"/>
      <c r="F17" s="281"/>
      <c r="G17" s="24"/>
    </row>
    <row r="18" spans="1:7" s="25" customFormat="1" ht="12.3" x14ac:dyDescent="0.4">
      <c r="A18" s="26" t="s">
        <v>12</v>
      </c>
      <c r="B18" s="27" t="s">
        <v>13</v>
      </c>
      <c r="C18" s="28"/>
      <c r="D18" s="28">
        <v>0</v>
      </c>
      <c r="E18" s="29">
        <v>0</v>
      </c>
      <c r="F18" s="265"/>
      <c r="G18" s="24"/>
    </row>
    <row r="19" spans="1:7" s="25" customFormat="1" ht="12.3" x14ac:dyDescent="0.4">
      <c r="A19" s="26" t="s">
        <v>14</v>
      </c>
      <c r="B19" s="27" t="s">
        <v>15</v>
      </c>
      <c r="C19" s="28"/>
      <c r="D19" s="28"/>
      <c r="E19" s="29">
        <v>0</v>
      </c>
      <c r="F19" s="265"/>
      <c r="G19" s="24"/>
    </row>
    <row r="20" spans="1:7" s="4" customFormat="1" ht="12.3" x14ac:dyDescent="0.4">
      <c r="A20" s="26" t="s">
        <v>16</v>
      </c>
      <c r="B20" s="30" t="s">
        <v>17</v>
      </c>
      <c r="C20" s="31"/>
      <c r="D20" s="32"/>
      <c r="E20" s="282" t="s">
        <v>2</v>
      </c>
      <c r="F20" s="283"/>
      <c r="G20" s="33"/>
    </row>
    <row r="21" spans="1:7" s="4" customFormat="1" ht="12.3" x14ac:dyDescent="0.4">
      <c r="A21" s="26" t="s">
        <v>19</v>
      </c>
      <c r="B21" s="34" t="s">
        <v>20</v>
      </c>
      <c r="C21" s="35"/>
      <c r="D21" s="36"/>
      <c r="E21" s="284">
        <v>0</v>
      </c>
      <c r="F21" s="285"/>
      <c r="G21" s="33" t="s">
        <v>2</v>
      </c>
    </row>
    <row r="22" spans="1:7" s="4" customFormat="1" ht="12.3" x14ac:dyDescent="0.4">
      <c r="A22" s="26" t="s">
        <v>22</v>
      </c>
      <c r="B22" s="34" t="s">
        <v>23</v>
      </c>
      <c r="C22" s="35"/>
      <c r="D22" s="36"/>
      <c r="E22" s="37">
        <v>0</v>
      </c>
      <c r="F22" s="38"/>
      <c r="G22" s="33"/>
    </row>
    <row r="23" spans="1:7" s="4" customFormat="1" ht="12.3" x14ac:dyDescent="0.4">
      <c r="A23" s="26" t="s">
        <v>24</v>
      </c>
      <c r="B23" s="34" t="s">
        <v>25</v>
      </c>
      <c r="C23" s="39"/>
      <c r="D23" s="36"/>
      <c r="E23" s="37"/>
      <c r="F23" s="40"/>
      <c r="G23" s="33"/>
    </row>
    <row r="24" spans="1:7" s="4" customFormat="1" ht="12.3" x14ac:dyDescent="0.4">
      <c r="A24" s="26" t="s">
        <v>27</v>
      </c>
      <c r="B24" s="34" t="s">
        <v>28</v>
      </c>
      <c r="C24" s="39"/>
      <c r="D24" s="36"/>
      <c r="E24" s="37" t="s">
        <v>2</v>
      </c>
      <c r="F24" s="40" t="s">
        <v>2</v>
      </c>
      <c r="G24" s="33"/>
    </row>
    <row r="25" spans="1:7" s="4" customFormat="1" ht="12.3" x14ac:dyDescent="0.4">
      <c r="A25" s="26" t="s">
        <v>29</v>
      </c>
      <c r="B25" s="34" t="s">
        <v>30</v>
      </c>
      <c r="C25" s="39"/>
      <c r="D25" s="39"/>
      <c r="E25" s="37">
        <v>0</v>
      </c>
      <c r="F25" s="41" t="s">
        <v>31</v>
      </c>
      <c r="G25" s="33"/>
    </row>
    <row r="26" spans="1:7" s="4" customFormat="1" ht="12.3" x14ac:dyDescent="0.4">
      <c r="A26" s="26" t="s">
        <v>32</v>
      </c>
      <c r="B26" s="34" t="s">
        <v>33</v>
      </c>
      <c r="C26" s="39"/>
      <c r="D26" s="39"/>
      <c r="E26" s="42">
        <v>0</v>
      </c>
      <c r="F26" s="41"/>
      <c r="G26" s="43"/>
    </row>
    <row r="27" spans="1:7" s="4" customFormat="1" ht="12.3" x14ac:dyDescent="0.4">
      <c r="A27" s="26" t="s">
        <v>34</v>
      </c>
      <c r="B27" s="34" t="s">
        <v>35</v>
      </c>
      <c r="C27" s="39"/>
      <c r="D27" s="39"/>
      <c r="E27" s="42">
        <v>0</v>
      </c>
      <c r="F27" s="41"/>
      <c r="G27" s="9"/>
    </row>
    <row r="28" spans="1:7" s="4" customFormat="1" ht="12.3" x14ac:dyDescent="0.4">
      <c r="A28" s="26" t="s">
        <v>36</v>
      </c>
      <c r="B28" s="44" t="s">
        <v>37</v>
      </c>
      <c r="C28" s="39"/>
      <c r="D28" s="39"/>
      <c r="E28" s="45">
        <v>0</v>
      </c>
      <c r="F28" s="41" t="s">
        <v>38</v>
      </c>
      <c r="G28" s="46"/>
    </row>
    <row r="29" spans="1:7" s="4" customFormat="1" ht="12.6" thickBot="1" x14ac:dyDescent="0.45">
      <c r="A29" s="26" t="s">
        <v>39</v>
      </c>
      <c r="B29" s="47" t="s">
        <v>40</v>
      </c>
      <c r="C29" s="48"/>
      <c r="D29" s="48"/>
      <c r="E29" s="267">
        <f>+E28*24</f>
        <v>0</v>
      </c>
      <c r="F29" s="49" t="s">
        <v>41</v>
      </c>
      <c r="G29" s="46"/>
    </row>
    <row r="30" spans="1:7" s="4" customFormat="1" ht="12.6" thickTop="1" x14ac:dyDescent="0.4">
      <c r="A30" s="50"/>
      <c r="B30" s="51"/>
      <c r="C30" s="50"/>
      <c r="D30" s="50"/>
      <c r="E30" s="52"/>
      <c r="F30" s="53"/>
      <c r="G30" s="9"/>
    </row>
    <row r="31" spans="1:7" s="56" customFormat="1" ht="15.75" customHeight="1" thickBot="1" x14ac:dyDescent="0.55000000000000004">
      <c r="A31" s="54" t="s">
        <v>42</v>
      </c>
      <c r="B31" s="55" t="s">
        <v>43</v>
      </c>
      <c r="G31" s="57"/>
    </row>
    <row r="32" spans="1:7" s="65" customFormat="1" ht="15.75" customHeight="1" thickBot="1" x14ac:dyDescent="0.45">
      <c r="A32" s="58" t="s">
        <v>44</v>
      </c>
      <c r="B32" s="59" t="s">
        <v>45</v>
      </c>
      <c r="C32" s="60"/>
      <c r="D32" s="61"/>
      <c r="E32" s="62" t="s">
        <v>46</v>
      </c>
      <c r="F32" s="63" t="s">
        <v>47</v>
      </c>
      <c r="G32" s="64" t="s">
        <v>48</v>
      </c>
    </row>
    <row r="33" spans="1:8" s="1" customFormat="1" ht="15.75" customHeight="1" thickTop="1" thickBot="1" x14ac:dyDescent="0.5">
      <c r="A33" s="66" t="s">
        <v>201</v>
      </c>
      <c r="B33" s="67" t="s">
        <v>200</v>
      </c>
      <c r="C33" s="68"/>
      <c r="D33" s="69"/>
      <c r="E33" s="70" t="s">
        <v>49</v>
      </c>
      <c r="F33" s="245">
        <f>IF(AND(OR($E$16=$E$67,$E$16=$E$69,$E$16=$E$83,$E$16=$E$63,$E$16=$E$65,$E$16=$E$68,$E$16=$E$74,$E$16=$E$80,$E$16=$E$81,$E$16=$E$85,$E$17=$G$69,$E$16=$E$76,$E$16=$E$77,AND(OR($E$16=$E$62,$E$16=$E$64,$E$16=$E$66,$E$16=$E$70,$E$16=$E$75,AND(OR($E$16=$E$71,$E$16=$E$72),NOT($E$17=$G$65))),OR($E$17=$G$69,$E$17=$G$71,$E$17=$G$72,$E$17=$G$65)),$E$17=$G$71,$E$17=$G$72,$E$16=$E$78,$E$16=$E$86,$E$16=$E$87)),0.16,IF(AND(OR($E$16=$E$71,$E$16=$E$72),$E$17=$G$65),0.0326,0.0192))</f>
        <v>1.9199999999999998E-2</v>
      </c>
      <c r="G33" s="71">
        <f>+$E$26*$F$33</f>
        <v>0</v>
      </c>
    </row>
    <row r="34" spans="1:8" s="1" customFormat="1" ht="15.75" customHeight="1" thickTop="1" thickBot="1" x14ac:dyDescent="0.5">
      <c r="A34" s="66" t="s">
        <v>202</v>
      </c>
      <c r="B34" s="67" t="s">
        <v>50</v>
      </c>
      <c r="C34" s="68"/>
      <c r="D34" s="69"/>
      <c r="E34" s="70" t="s">
        <v>49</v>
      </c>
      <c r="F34" s="246">
        <f>IF(OR($E$16=$E$63,$E$16=$E$77,$E$16=$E$78,$E$16=$E$83),0.03,IF(AND(OR($E$16=$E$67,$E$16=$E$69,$E$16=$E$65,$E$16=$E$68,$E$16=$E$74,$E$16=$E$80,$E$16=$E$81,$E$17=$G$69,$E$16=$E$76,AND(OR($E$16=$E$62,$E$16=$E$64,$E$16=$E$66,$E$16=$E$70,$E$16=$E$75),OR($E$17=$G$69,$E$17=$G$71,$E$17=$G$72,$E$17=$G$65)),$E$17=$G$71,$E$17=$G$72,$E$16=$E$85,$E$16=$E$86,$E$16=$E$87)),0.04,IF(AND(OR($E$16=$E$71,$E$16=$E$72),$E$17=$G$65),0.0814,0.0383)))</f>
        <v>3.8300000000000001E-2</v>
      </c>
      <c r="G34" s="71">
        <f>$F$34*$E$26</f>
        <v>0</v>
      </c>
    </row>
    <row r="35" spans="1:8" s="1" customFormat="1" ht="15.75" customHeight="1" thickTop="1" thickBot="1" x14ac:dyDescent="0.5">
      <c r="A35" s="66" t="s">
        <v>203</v>
      </c>
      <c r="B35" s="67" t="s">
        <v>51</v>
      </c>
      <c r="C35" s="68"/>
      <c r="D35" s="69"/>
      <c r="E35" s="72" t="s">
        <v>52</v>
      </c>
      <c r="F35" s="245">
        <f>IF(OR($E$16=$E$63,$E$16=$E$77,$E$16=$E$78,$E$16=$E$83),0.15,IF(AND(OR($E$16=$E$67,$E$16=$E$69,$E$16=$E$65,$E$16=$E$68,$E$16=$E$74,$E$16=$E$80,$E$16=$E$81,$E$17=$G$69,$E$16=$E$76,AND(OR($E$16=$E$62,$E$16=$E$64,$E$16=$E$66,$E$16=$E$70,$E$16=$E$75),OR($E$17=$G$69,$E$17=$G$71,$E$17=$G$72,$E$17=$G$65)),$E$17=$G$71,$E$17=$G$72,$E$16=$E$85,$E$16=$E$86,$E$16=$E$87)),0.24,IF($E$17=$G$65,IF(AND(OR($E$16=$E$71,$E$16=$E$72,$E$16=$E$67,$E$16=$E$68,$E$16=$E$80,$E$16=$E$81),$E$23=$A$62),0.0542,0.0287),0.0319)))</f>
        <v>3.1899999999999998E-2</v>
      </c>
      <c r="G35" s="71">
        <f>IF($E$16=$E$80,"NOT APPLICABLE",$E$25*$F$35)</f>
        <v>0</v>
      </c>
    </row>
    <row r="36" spans="1:8" s="1" customFormat="1" ht="15.75" customHeight="1" thickTop="1" thickBot="1" x14ac:dyDescent="0.5">
      <c r="A36" s="66" t="s">
        <v>204</v>
      </c>
      <c r="B36" s="67" t="s">
        <v>53</v>
      </c>
      <c r="C36" s="68">
        <f>IF($E$16=$E$71,"CHARGES BY P.S.E.E.Z",IF(AND($E$16=$E$72,NOT($E$17=$G$65),NOT($E$17=$G$69)),"CHARGES BY N.P.C/T.T.P.C",IF($E$16=$E$74,"CHARGES BY BARCO",IF($E$16=$E$76," CHARGES BY K.S.C",IF($E$16=$E$86,"CHARGE BY FARASKOU",IF($E$16=$E$89,"CHARGES BY LNG PORT",0))))))</f>
        <v>0</v>
      </c>
      <c r="D36" s="69"/>
      <c r="E36" s="70" t="str">
        <f>IF($E$16=$E$82,"SAROOJ TARIFF","G.T./TARIFF")</f>
        <v>G.T./TARIFF</v>
      </c>
      <c r="F36" s="246">
        <f>IF(OR($E$16=$E$63,$E$16=$E$77,$E$16=$E$78,$E$16=$E$83),1,IF(AND(OR($E$17=$G$65,$E$17=$G$69,$E$17=$G$71,$E$17=$G$72),$E$23=$A$63),0,IF(AND(OR($E$16=$E$65,$E$16=$E$67,$E$16=$E$68,$E$16=$E$74,$E$16=$E$80,$E$16=$E$81,$E$16=$E$83,$E$17=$G$69,$E$16=$E$76,AND(OR($E$16=$E$62,$E$16=$E$64,$E$16=$E$66,$E$16=$E$70,$E$16=$E$75,AND($E$16=$E$71,OR($E$17=$G$69,$E$17=$G$71,$E$17=$G$72))),OR($E$17=$G$69,$E$17=$G$71,$E$17=$G$72,AND($E$17=$G$65,$E$23=$A$63))),$E$17=$G$71,$E$17=$G$72,$E$17=$G$65),$E$23=$A$62),0.41,IF($E$16=$E$82,"0.1113X G.T.+$104",IF(OR($E$17=$G$63,$E$17=$G$67,$E$17=$G$68,$E$17=$G$70),0.0865,0.199)))))</f>
        <v>0.19900000000000001</v>
      </c>
      <c r="G36" s="73" t="str">
        <f>IF($E$29=0,"",IF(OR(AND(OR($E$17=$G$65,$E$17=$G$69,$E$17=$G$71,$E$17=$G$72),$E$23=$A$63),$E$16=$E$67,$E$16=$E$68,$E$16=$E$79,$E$16=$E$85,$E$16=$E$87),"NOT APPLICABLE",IF($E$16=$E$82,SUM(0.1113*$E$26,104),PRODUCT($E$26,F$36))))</f>
        <v/>
      </c>
    </row>
    <row r="37" spans="1:8" s="1" customFormat="1" ht="15.75" customHeight="1" thickTop="1" thickBot="1" x14ac:dyDescent="0.5">
      <c r="A37" s="66" t="s">
        <v>205</v>
      </c>
      <c r="B37" s="67" t="s">
        <v>54</v>
      </c>
      <c r="C37" s="68" t="s">
        <v>2</v>
      </c>
      <c r="D37" s="248" t="str">
        <f>IF($E$16=$E$69,"PMO CHARGES","")</f>
        <v/>
      </c>
      <c r="E37" s="70" t="str">
        <f>IF(OR($E$16=$E$67,$E$16=$E$68,$E$16=$E$69),"NRT/TARIFF","G.T./TARIFF")</f>
        <v>G.T./TARIFF</v>
      </c>
      <c r="F37" s="246">
        <f>IF(OR($E$16=$E$67,$E$16=$E$68,AND($E$17=$G$69,$E$23=$A$63,$E$16=$E$71),$E$16=$E$85,$E$16=$E$87),"HANDLE BY NIOC",IF(OR(AND($E$17=$G$65,$E$23=$A$63),AND(OR($E$16=$E$71,$E$16=$E$72),$E$23=$A$63)),0.345,IF(OR($E$16=$E$82,$E$16=$E$89),0.7,IF(OR($E$17=$G$69,$E$17=$G$71,$E$17=$G$72,$E$16=$E$63,$E$16=$E$74,$E$16=$E$65,$E$16=$E$77,$E$16=$E$78,$E$16=$E$80,$E$16=$E$81,$E$16=$E$83,$E$16=$E$69,AND($E$17=$G$65,OR(NOT($E$16=$E$71),NOT($E$16=$E$72))),$E$16=$E$76),"AS PER TARIFF",IF(OR(,AND($E$16=$E$71,$E$23=$A$63)),0.3834,IF(OR($E$17=$G$63,$E$17=$G$67,$E$17=$G$68,$E$17=$G$70),0.1917,0.3834))))))</f>
        <v>0.38340000000000002</v>
      </c>
      <c r="G37" s="71">
        <f>IF($E$29=0,0,IF(OR($E$16=$E$67,$E$16=$E$68,AND($E$16=$E$71,$E$23=$A$63,$E$17=$G$69),$E$16=$E$85,$E$16=$E$87),"HANDEL BY NIOC",IF(OR($E$16=$E$63,$E$16=$E$77,$E$16=$E$78,$E$16=$E$83),LOOKUP($E$26,$E$161:$F$164,$G$161:$G$164),IF(E$16=$E$74,LOOKUP($E$26,$A$96:$B$102,$C$96:$C$102),IF(OR($E$16=$E$65,$E$16=$E$74,$E$16=$E$80,$E$16=$E$81,$E$16=$E$69,AND(OR($E$16=$E$62,$E$16=$E$64,$E$16=$E$66,$E$16=$E$70,$E$16=$E$75,AND($E$16=$E$71,NOT($E$23=$A$63)),$E$16=$E$72,$E$16=$E$82),OR($E$17=$G$69,$E$17=$G$71,$E$17=$G$72)),AND($E$17=$G$65,$E$23=$A$62,OR(NOT($E$16=$E$72),NOT($E$16=$E$71))),$E$16=$E$65,$E$16=$E$76),LOOKUP($E$26,$A$96:$B$102,$C$96:$C$102),IF($E$16=$E$79,"NOT APPLICABLE",$F$37*$E$26))))))</f>
        <v>0</v>
      </c>
      <c r="H37" s="74"/>
    </row>
    <row r="38" spans="1:8" s="1" customFormat="1" ht="15.75" customHeight="1" thickTop="1" thickBot="1" x14ac:dyDescent="0.5">
      <c r="A38" s="66" t="s">
        <v>206</v>
      </c>
      <c r="B38" s="67" t="str">
        <f>IF($E$16=$E$69,"ESTIMATED PILOTAGE (2 OPS.)","PILOTAGE ( 2 OPS.)")</f>
        <v>PILOTAGE ( 2 OPS.)</v>
      </c>
      <c r="C38" s="68"/>
      <c r="D38" s="248" t="str">
        <f>IF($E$16=$E$69,"PMO CHARGES","")</f>
        <v/>
      </c>
      <c r="E38" s="70" t="str">
        <f>IF(OR($E$16=$E$67,$E$16=$E$68,$E$16=$E$70),"NRT/TARIFF","G.T./TARIFF")</f>
        <v>G.T./TARIFF</v>
      </c>
      <c r="F38" s="247">
        <f>IF(OR($E$16=$E$67,$E$16=$E$68,AND($E$16=$E$71,$E$23=$A$63,$E$17=$G$69),$E$16=$E$85,$E$16=$E$87),"CHARGE  BY NIOC",IF(OR($E$16=$E$63,$E$16=$E$77,$E$16=$E$78,$E$16=$E$83),0.25,IF(AND(OR($E$17=$G$69,$E$17=$G$71,$E$17=$G$72,$E$16=$E$65,$E$16=$E$69,$E$16=$E$74,$E$16=$E$76,$E$16=$E$80,$E$16=$E$81,$E$16=$E$85,AND($E$17=$G$65,NOT($E$16=$E$71),NOT($E$16=$E$72))),$E$23=$A$62),0.8,IF(AND($E$23=$A$63,$E$17=$G$65),0.7656,IF(AND(OR($E$16=$E$71,$E$16=$E$72,$E$16=$E$67,$E$16=$E$68,$E$16=$E$80,$E$16=$E$81),$E$17=$G$65,$E$23=$A$62),0.3828,IF(OR($E$17=$G$63,$E$17=$G$67,$E$17=$G$68,$E$17=$G$70),0.0958,0.1916))))))</f>
        <v>0.19159999999999999</v>
      </c>
      <c r="G38" s="71" t="str">
        <f>IF($E$29=0,"",IF(OR($E$16=$E$67,$E$16=$E$68,AND($E$16=$E$71,$E$23=$A$63,$E$17=$G$69),$E$16=$E$85,$E$16=$E$87),"HANDLE BY NIOC",IF($E$16=$E$79,"NOT APPLICABLE",$E$26*$F$38)))</f>
        <v/>
      </c>
    </row>
    <row r="39" spans="1:8" s="1" customFormat="1" ht="15.75" customHeight="1" thickTop="1" thickBot="1" x14ac:dyDescent="0.6">
      <c r="A39" s="66" t="s">
        <v>207</v>
      </c>
      <c r="B39" s="271" t="s">
        <v>198</v>
      </c>
      <c r="C39" s="68"/>
      <c r="D39" s="248" t="str">
        <f>IF($E$16=$E$69,"PMO CHARGES","")</f>
        <v/>
      </c>
      <c r="E39" s="75" t="str">
        <f>IF(OR($E$16=$E$67,$E$16=$E$69,$E$16=$E$79,$E$16=$E$68),0,"APPROXIMATE")</f>
        <v>APPROXIMATE</v>
      </c>
      <c r="F39" s="247" t="str">
        <f>IF(OR($E$16=$E$67,$E$16=$E$79,$E$16=$E$68),0,"15% OF ITEM 7")</f>
        <v>15% OF ITEM 7</v>
      </c>
      <c r="G39" s="71" t="str">
        <f>IF($E$29=0,"",IF($F$39=0,0,IF(OR($E$16=$E$67,$E$16=$E$79,$E$16=$E$68,$F$39=0,AND($E$16=$E$71,$E$23=$A$63,$E$17=$G$69),$E$16=$E$85,$E$16=$E$79,$E$16=$E$87),"NOT APPLICABLE",$G$38*15%)))</f>
        <v/>
      </c>
    </row>
    <row r="40" spans="1:8" s="1" customFormat="1" ht="15.75" customHeight="1" thickTop="1" thickBot="1" x14ac:dyDescent="0.45">
      <c r="A40" s="66" t="s">
        <v>208</v>
      </c>
      <c r="B40" s="67" t="str">
        <f>IF(E16=E69,"MAHSHAHR CHANNEL DUES AND OVERTIME","EST. SHIP OVERTIME ON ACTIVE HOLDS")</f>
        <v>EST. SHIP OVERTIME ON ACTIVE HOLDS</v>
      </c>
      <c r="C40" s="68"/>
      <c r="D40" s="69" t="s">
        <v>2</v>
      </c>
      <c r="E40" s="72" t="str">
        <f>IF(OR($E$16=$E$71,$E$16=$E$72,$E$16=$E$74),"PER DAY",IF(OR($E$16=$E$65,$E$16=$E$67,$E$16=$E$68,$E$16=$E$69,$E$16=$E$80,$E$16=$E$81,$E$16=$E$76),"","HOUR P/HATCH"))</f>
        <v>HOUR P/HATCH</v>
      </c>
      <c r="F40" s="246" t="str">
        <f>IF(OR($E$16=$E$65,$E$16=$E$67,$E$16=$E$68,$E$16=$E$69, E$16=$E$80,$E$16=$E$81,,$E$16=$E$76,$E$16=$E$79,$E$16=$E$73,$E$16=$E$82),0,IF($E$16=$E$74,IF(AND(OR($E$21=$C$62,$E$21=$C$63),$E$22=1),0,0.022),"USD:150XNO. OF HOLDXDAY"))</f>
        <v>USD:150XNO. OF HOLDXDAY</v>
      </c>
      <c r="G40" s="249">
        <f>IF($E$29=0,0,IF(OR($E$16=$E$65,$E$16=$E$67,$E$16=$E$68,$E$16=$E$69,F$16=$E$80,$E$16=$E$81,$E$16=$E$85,$E$16=$E$76,$E$16=$E$79,$E$16=$E$73,$E$16=$E$82,$E$16=$E$87,$E$16=$E$89),"NOT APPLICABLE",150*$E$28*$E$18))</f>
        <v>0</v>
      </c>
    </row>
    <row r="41" spans="1:8" s="1" customFormat="1" ht="15.75" customHeight="1" thickTop="1" thickBot="1" x14ac:dyDescent="0.5">
      <c r="A41" s="66" t="s">
        <v>209</v>
      </c>
      <c r="B41" s="67" t="str">
        <f>IF($E$23=$A$63,"SPM/SBM EST.WHARGAGE","EST.SIDE WHARFAGE")</f>
        <v>EST.SIDE WHARFAGE</v>
      </c>
      <c r="C41" s="68">
        <f>IF($E$16=$E$71,"CHARGES BY P.S.E.E.Z",IF($E$16=$E$74,"CHARGES BY BARCO",IF($E$16=$E$76," CHARGES BY K.S.C",IF(OR(AND($E$16=$E$72,NOT($E$17=$G$65),NOT($E$17=$G$69)),$E$16=$E$80),"CHARGES BY N.P.C/T.T.P.C",IF(AND(OR($E$16=$E$71,$E$16=$E$72),OR($E$17=$G$65,$E$17=$G$69)),"CHARGED BY NIOC",IF($E$16=$E$86,"CHARGE BY FARASKOU",IF(AND($E$16=$E$85,$E$17=$G$65,$E$23=$A$62),"CHARGES BY LAVAN OIL REFINERY",IF($E$16=$E$89,"CHARGE BY LNG PORT",0))))))))</f>
        <v>0</v>
      </c>
      <c r="D41" s="69"/>
      <c r="E41" s="72" t="str">
        <f>IF(OR($E$16=$E$67,$E$16=$E$68,$E$16=$E$76),0,IF(OR($E$16=$E$63,$E$16=$E$65,$E$16=$E$69,$E$16=$E$78,$E$16=$E$80,$E$16=$E$81,AND(OR($E$17=$G$65,$E$17=$G$69,$E$17=$G$71,$E$17=$G$72),$E$23=$A$62,NOT($E$16=$E$85)),AND(OR($E$16=$E$71,$E$16=$E$72),AND(NOT($E$17=$G$65),$E$23=$A$63)),AND($E$16=$E$85,NOT($E$17=$G$65)),$E$16=$E$90),"HOURS/G.T.",IF(AND(OR($E$16=$E$71,$E$16=$E$72),$E$23=$A$63,$E$17=$G$65),"G.T/TARIFF",IF($E$16=$E$74,"G.TXDAY",IF(AND($E$16=$E$85,$E$17=$G$65,$E$23=$A$62),"GT/TARIFF",IF($E$16=$E$82,"SAROOJ TARIFF","NORM DAY/G.T."))))))</f>
        <v>HOURS/G.T.</v>
      </c>
      <c r="F41" s="76" t="str">
        <f>IF(OR($E$16=$E$67,$E$16=$E$68),0,IF(OR($E$16=$E$65,$E$16=$E$69,$E$16=$E$80,$E$16=$E$81,AND(OR($E$17=$G$69,$E$17=$G$71,$E$17=$G$72,$E$24=$D$62),NOT($E$16=$E$85)),AND($E$17=$G$65,$E$23=$A$62,OR(NOT($E$16=$E$71),NOT($E$16=$E$72)),NOT($E$16=$E$85)),AND($E$16=$E$85,NOT($E$17=$G$65)),$E$16=$E$87),0.0045,IF(OR(AND(OR($E$16=$E$71,$E$16=$E$72),OR($E$17=$G$65,$E$17=$G$69,$E$17=$G$71,$E$17=$G$72),$E$23=$A$63)),0.18,IF($E$16=$E$73,IF(E26&lt;=9000,0.12,0.1),IF($E$16=$E$74,0.1,IF($E$16=$E$82,"SAROOJ TARIFF",IF(AND($E$16=$E$85,$E$17=$G$65,$E$23=$A$62),"LAVAN  TARIFF","AS PER TARIFF/NORM")))))))</f>
        <v>AS PER TARIFF/NORM</v>
      </c>
      <c r="G41" s="71">
        <f>IF(AND($E$16=$E$85,$E$17=$G$65,$E$23=$A$62),IF($E$26&lt;=3000,$E$26*1.33,SUM(3000*1.33,($E$26-3000)*1)),IF(OR($E$16=$E$67,$E$16=$E$68,$E$16=$E$79),"NOT APPLICABLE",IF(OR($E$16=$E$63,$E$16=$E$77,$E$16=$E$78,$E$16=$E$83),IF($E$29&lt;=24,0.0005*$E$26*24,SUM(0.0005*$E$26*24,SUM($E$29-24)*0.0045*$E$26)),IF($E$16=$E$74,$F$41*$E$26*$E$28,IF(OR($E$16=$E$65,$E$16=$E$69,$E$16=$E$80,$E$16=$E$81,AND(OR($E$17=$G$69,$E$17=$G$65,$E$17=$G$71,$E$17=$G$72)),AND($E$17=$G$65,$E$23=$A$62,OR(NOT($E$16=$E$71),NOT($E$16=$E$72))),$E$24=$D$62,$E$16=$E$85,$E$16=$E$87),$F$41*$E$29*$E$26,IF($E$16=$E$73,$F$41*$E$26*$E$28,IF($E$16=$E$82,IF($E$28&lt;=3,SUM(0.0556*$E$26,435),SUM(SUM(0.0556*$E$26*3,435),PRODUCT(SUM(PRODUCT($E$26,0.0556,$E$28-3),435),120%))),IF(OR(AND(OR($E$16=$E$71,$E$16=$E$72),OR($E$17=$G$65,$E$17=$G$69,$E$17=$G$71,$E$17=$G$72),$E$23=$A$63)),$F$41*$E$26,IF(OR($E$17=$G$63,$E$17=$G$67,$E$17=$G$68,$E$17=$G$70),IF($E$29&lt;=24,0.00067*$E$29*$E$26,SUM(0.00067*24*$E$26,PRODUCT($E$29-24,0.0028,$E$26))),IF($E$17=$G$62,IF($E$29&lt;=120,0.0002*$E$29*$E$26,SUM(0.0002*$E$26*120,($E$29-120)*0.0073*$E$26)),IF($E$29&lt;=72,0.00033*$E$26*$E$29,SUM(0.00033*$E$26*72,($E$29-72)*0.0073*$E$26))))))))))))</f>
        <v>0</v>
      </c>
    </row>
    <row r="42" spans="1:8" s="1" customFormat="1" ht="15.75" customHeight="1" thickTop="1" thickBot="1" x14ac:dyDescent="0.5">
      <c r="A42" s="66" t="s">
        <v>29</v>
      </c>
      <c r="B42" s="67" t="s">
        <v>55</v>
      </c>
      <c r="C42" s="68">
        <f>IF($E$16=$E$71,"CHARGES BY P.S.E.E.Z",IF(AND($E$16=$E$72,NOT($E$17=$G$65),NOT($E$17=$G$69)),"CHARGES BY N.P.C/T.T.P.C",IF($E$16=$E$74,"CHARGES BY BARCO",IF($E$16=$E$76," CHARGES BY K.S.C",IF(AND($E$16=$E$72,OR($E$17=$G$65,E17=$G$69)),"CHARGES BY NIOC",IF($E$16=$E$86,"CHARGE BY FARASKOU",IF($E$16=$E$89,"CHARGE BY LNG PORT",0)))))))</f>
        <v>0</v>
      </c>
      <c r="D42" s="69"/>
      <c r="E42" s="77" t="str">
        <f>IF($E$16=$E$82,"SAROOJ TARIFF",IF($E$16=$E$74,"GT",""))</f>
        <v/>
      </c>
      <c r="F42" s="76">
        <f>IF($E$26=0,0,IF($E$16=$E$74,0.03,IF($E$16=$E$82,"(GTX0.0556)+$88.00","TARIFF")))</f>
        <v>0</v>
      </c>
      <c r="G42" s="71">
        <f>IF($F$42=0,0,IF($E$16=$E$89,100*$E$28,IF($E$16=$E$74,$F$42*$E$26,IF($E$16=$E$82,SUM(0.0556*$E$26,88),IF(OR($E$16=$E$63,$E$16=$E$77,$E$16=$E$78,$E$16=$E$83),LOOKUP($E$26,$E$154:$F$156,$G$154:$G$156)*$E$28,IF($E$23=$A$63,PRODUCT($E$28*2,LOOKUP($E$26,$A$162:$B$167,$C$162:$C$167)),PRODUCT($E$28,LOOKUP($E$26,$A$162:$B$167,$C$162:$C$167))))))))</f>
        <v>0</v>
      </c>
    </row>
    <row r="43" spans="1:8" s="1" customFormat="1" ht="15.75" customHeight="1" thickTop="1" thickBot="1" x14ac:dyDescent="0.5">
      <c r="A43" s="66" t="s">
        <v>32</v>
      </c>
      <c r="B43" s="78" t="s">
        <v>57</v>
      </c>
      <c r="C43" s="79"/>
      <c r="D43" s="80"/>
      <c r="E43" s="81" t="s">
        <v>58</v>
      </c>
      <c r="F43" s="82">
        <f>IF(OR($E$16=$E$63,$E$16=$E$77,$E$16=$E$78,$E$16=$E$83),0.003,0.03)</f>
        <v>0.03</v>
      </c>
      <c r="G43" s="83">
        <f>+$F$43*E26</f>
        <v>0</v>
      </c>
    </row>
    <row r="44" spans="1:8" s="1" customFormat="1" ht="15.75" customHeight="1" thickTop="1" thickBot="1" x14ac:dyDescent="0.5">
      <c r="A44" s="66" t="s">
        <v>34</v>
      </c>
      <c r="B44" s="84" t="str">
        <f>IF(OR($E$17=$G$71,$E$24=$D$71),"EST. TUG HIRE FOR 1 TIME TANK INSPECTION AT ANCHORAGE",IF($E$16=$E$69,"MOTOR BOAT HIRE AT BIK AND MAHSHAHR ",IF($E$16=$E$79,"KISH FREE ZONE SIDE WHARGAGE ",IF($E$16=$E$82,"COST PRIVATE PORT SECURITY",IF(OR($E$16=$E$85,$E$16=$E$87),"ESTIMATED MOORING GANG",IF($E$16=$E$86," OIL STAIN REMOVAL","OTHERS"))))))</f>
        <v>OTHERS</v>
      </c>
      <c r="C44" s="85"/>
      <c r="D44" s="268"/>
      <c r="E44" s="269">
        <f>IF($E$16=$E$79,"(10+DAYS)/GRT",IF($E$16=$E$82,"SAROOJ TARIFF",IF($E$16=$E$89,"G.T/ TARIFF",0)))</f>
        <v>0</v>
      </c>
      <c r="F44" s="246">
        <f>IF($E$16=$E$69,"CHARGE BY NIOC",IF($E$16=$E$79,IF($E$28&lt;=7,0.12,IF(AND($E$28&gt;7,$E$28&lt;=14),0.13,IF(AND($E$28&gt;15,$E$28&lt;=30),0.15,0.2))),IF($E$16=$E$82,"SAROOJ TARIFF",0)))</f>
        <v>0</v>
      </c>
      <c r="G44" s="270">
        <f>IF(OR($E$16=$E$85,$E$16=$E$87),1450,IF($E$16=$E$69,1598,IF($E$16=$E$82,IF($E$28&lt;=3,SUM(0.0556*$E$26,69),SUM(SUM(0.0556*$E$26*3,69),PRODUCT(($E$28-3)*0.0556*$E$26+69,120%))),IF(OR($E$17=$G$71,$E$24=$D$71),1000,IF($E$16=$E$79,PRODUCT(SUM(10,$E$28),$F$44,ROUND($E$26,-2)),IF($E$16=$E$86,500,0))))))</f>
        <v>0</v>
      </c>
    </row>
    <row r="45" spans="1:8" s="65" customFormat="1" ht="15.6" thickTop="1" thickBot="1" x14ac:dyDescent="0.55000000000000004">
      <c r="A45" s="86"/>
      <c r="B45" s="87" t="s">
        <v>59</v>
      </c>
      <c r="C45" s="88"/>
      <c r="D45" s="88"/>
      <c r="E45" s="88"/>
      <c r="F45" s="89"/>
      <c r="G45" s="90">
        <f>SUM(G33:G44)</f>
        <v>0</v>
      </c>
    </row>
    <row r="46" spans="1:8" s="65" customFormat="1" ht="15.6" thickTop="1" thickBot="1" x14ac:dyDescent="0.55000000000000004">
      <c r="A46" s="91"/>
      <c r="B46" s="92" t="s">
        <v>60</v>
      </c>
      <c r="C46" s="93">
        <f>IF(AND($E$20=$B$62,NOT($E$24=$D$62),$E$26&gt;=1500,OR($E$16=$E$63,$E$16=$E$65,$E$16=$E$68,AND(E$16=$E$69,NOT($E$24=$D$62)),$E$16=$E$76,$E$16=$E$77,$E$16=$E$78,$E$16=$E$80,$E$16=$E$81,AND(OR($E$16=$E$62,$E$16=$E$64,$E$16=$E$70,$E$16=$E$71,$E$16=$E$72,$E$16=$E$73,$E$16=$E$75),OR($E$17=$G$69,$E$17=$G$71,$E$17=$G$72),NOT($E$24=$D$62)))),"25%, SUBJECT TO THE VESSEL ARRIVES EMPTY ",IF(AND($E$16=$E$74,$E$20=$B$62),"25%(ITEMS 6,7,11 &amp; 12 ARE EXCLUDED SUBJECT TO THE VESSEL ARRIVES EMPTY)",IF(OR($E$16=$E$65,$E$16=$E$80,$E$16=$E$81),"25% ON ITEM 9 ONLY",0)))</f>
        <v>0</v>
      </c>
      <c r="E46" s="92"/>
      <c r="F46" s="94"/>
      <c r="G46" s="95">
        <f>IF(AND($E$20=$B$62,NOT($E$24=$D$62),$E$26&gt;=1500,OR($E$16=$E$63,$E$16=$E$65,$E$16=$E$68,AND(I$16=$E$69,NOT($E$24=$D$62)),$E$16=$E$76,$E$16=$E$77,$E$16=$G$78,$E$16=$E$80,$E$16=$E$81,AND(OR($E$16=$E$62,$E$16=$E$64,$E$16=$E$70,$E$16=$E$71,$E$16=$E$72,$E$16=$E$73,$E$16=$E$75),OR($E$17=$G$69,$E$17=$E$71,$E$17=$E$72),NOT($E$24=$D$62)))),PRODUCT(SUM($G$33:$G$44),25%),IF(AND($E$16=$E$74,$E$20=$B$62),PRODUCT(SUM($G$33:$G$44,-SUM($G$33:G44)),25%),IF(OR($E$16=$E$65,$E$16=$E$80,$E$16=$E$81),PRODUCT($G$41,25%),0)))</f>
        <v>0</v>
      </c>
      <c r="H46" s="96"/>
    </row>
    <row r="47" spans="1:8" s="65" customFormat="1" ht="15.6" thickTop="1" thickBot="1" x14ac:dyDescent="0.55000000000000004">
      <c r="A47" s="97" t="s">
        <v>42</v>
      </c>
      <c r="B47" s="98" t="s">
        <v>61</v>
      </c>
      <c r="C47" s="99"/>
      <c r="D47" s="99"/>
      <c r="E47" s="99"/>
      <c r="F47" s="100"/>
      <c r="G47" s="101">
        <f>+G45-G46</f>
        <v>0</v>
      </c>
      <c r="H47" s="96"/>
    </row>
    <row r="48" spans="1:8" s="65" customFormat="1" ht="15.6" thickTop="1" thickBot="1" x14ac:dyDescent="0.55000000000000004">
      <c r="A48" s="97" t="s">
        <v>62</v>
      </c>
      <c r="B48" s="98" t="s">
        <v>63</v>
      </c>
      <c r="C48" s="99"/>
      <c r="D48" s="99"/>
      <c r="E48" s="99"/>
      <c r="F48" s="100"/>
      <c r="G48" s="101">
        <f>IF($E$26=0,0,IF(OR(AND($E$16=$E$62,OR(NOT($E$17=$G$69),NOT($E$17=$G$69),NOT($E$17=$G$71),NOT($E$17=$G$72),NOT($E$17=$G$65))),$E$16=$E$64,$E$16=$E$89,$E$16=$E$65,$E$16=$E$80,$E$16=$E$81),"NOT APPLICABLE",PRODUCT(SUM($G$33:$G$44),9%)))</f>
        <v>0</v>
      </c>
      <c r="H48" s="96"/>
    </row>
    <row r="49" spans="1:8" s="65" customFormat="1" ht="15.6" thickTop="1" thickBot="1" x14ac:dyDescent="0.55000000000000004">
      <c r="A49" s="102" t="s">
        <v>64</v>
      </c>
      <c r="B49" s="103" t="s">
        <v>65</v>
      </c>
      <c r="C49" s="104"/>
      <c r="D49" s="104"/>
      <c r="E49" s="105" t="s">
        <v>56</v>
      </c>
      <c r="F49" s="106"/>
      <c r="G49" s="107">
        <f>IF($E$26=0,0,IF($E$16=$E$79,IF($E$26&lt;=500,"NOT APPLICABLE",82),IF(OR($E$17=$G$68,$E$17=$G$70,$E$17=$G$71),LOOKUP($E$26,$E$106:$F$117,$G$106:$G$117),LOOKUP($E$26,$B$106:$C$115,$D$106:$D$115))))</f>
        <v>0</v>
      </c>
      <c r="H49" s="96"/>
    </row>
    <row r="50" spans="1:8" s="109" customFormat="1" ht="18.75" customHeight="1" thickTop="1" thickBot="1" x14ac:dyDescent="0.55000000000000004">
      <c r="A50" s="102" t="s">
        <v>66</v>
      </c>
      <c r="B50" s="103" t="s">
        <v>67</v>
      </c>
      <c r="C50" s="104"/>
      <c r="D50" s="104"/>
      <c r="E50" s="108" t="str">
        <f>IF(OR($E$16=$E$71,$E$16=$E$72,$E$16=$E$86,$E$16=$E$65,$E$16=$E$66,$E$16=$E$79,$E$16=$E$83,$E$18=$E$91),"",IF(OR($E$16=$E$68,$E$16=$E$69)," APROAX USD:187.50 PER DAY",IF($E$16=$E$73,"APPROAX USD:90.00 PER DAY",IF($E$16=$E$85,"APPROAX USD: 300.00 PER DAY","APPROAX USD:50.00 PER DAY"))))</f>
        <v/>
      </c>
      <c r="F50" s="106"/>
      <c r="G50" s="107">
        <f>IF(OR($E$16=$E$71,$E$16=$E$72,$E$16=$E$86),185,IF($E$26=0,0,IF(OR($E$16=$E$66,$E$16=$E$67),$E$28*187.5,IF(OR($E$16=$E$77,$E$16=$E$80,$E$16=$E$83,$E$16=$E$81,$E$16=$E$78),"NOT APPLICABLE",IF($E$16=$E$85,300*$E$28,IF($E$16=$E$73,$E$28*90,$E$28*50))))))</f>
        <v>0</v>
      </c>
    </row>
    <row r="51" spans="1:8" s="109" customFormat="1" ht="18.75" customHeight="1" thickTop="1" thickBot="1" x14ac:dyDescent="0.55000000000000004">
      <c r="A51" s="102" t="s">
        <v>68</v>
      </c>
      <c r="B51" s="244" t="str">
        <f>IF($E$16=$E$69,"EST. TUG CHRGES BY NIOC","N.I.O.C. CHARGES TOWARD TUG AND PILOTAGE")</f>
        <v>N.I.O.C. CHARGES TOWARD TUG AND PILOTAGE</v>
      </c>
      <c r="C51" s="104"/>
      <c r="D51" s="104"/>
      <c r="E51" s="108" t="str">
        <f>IF(NOT(OR($E$16=$E$66,$E$16=$E$67,$E$16=$E$68,$E$16=$E$85)),"","AS PER TARIFF/NRT BASIS")</f>
        <v/>
      </c>
      <c r="F51" s="106"/>
      <c r="G51" s="107">
        <f>IF($E$16=$E$69,11374,IF($E$26=0,0,IF(OR($E$16=$E$67,AND($E$17=$G$69,$E$23=$A$63),$E$16=$E$68,$E$16=$E$85),IF($E$27&lt;=20000,SUM($F$124,$F$126),SUM($F$124,$F$126,SUM(ROUND($E$27,-3),-20000)/100*$F$128)),IF(OR($E$16=$E$68),IF($E$27&lt;=20000,SUM($G$124,$G$126),SUM($G$124,$G$126,SUM(ROUND($E$27,-3)-20000)/100*$G$128)),"NOT APPLICABLE"))))</f>
        <v>0</v>
      </c>
    </row>
    <row r="52" spans="1:8" s="109" customFormat="1" ht="17.25" customHeight="1" thickTop="1" thickBot="1" x14ac:dyDescent="0.55000000000000004">
      <c r="A52" s="102" t="s">
        <v>69</v>
      </c>
      <c r="B52" s="103" t="s">
        <v>70</v>
      </c>
      <c r="C52" s="104"/>
      <c r="D52" s="104"/>
      <c r="E52" s="108" t="str">
        <f>IF(NOT(OR($E$16=$E$66,$E$16=$E$67,$E$16=$E$68)),"","AS PER TARIFF/NRT BASIS")</f>
        <v/>
      </c>
      <c r="F52" s="106"/>
      <c r="G52" s="107">
        <f>IF(G51="NOT APPLICABLE","NOT APPLICABLE",G51*9%)</f>
        <v>0</v>
      </c>
    </row>
    <row r="53" spans="1:8" s="112" customFormat="1" ht="17.25" customHeight="1" thickTop="1" thickBot="1" x14ac:dyDescent="0.55000000000000004">
      <c r="A53" s="110"/>
      <c r="B53" s="111" t="s">
        <v>71</v>
      </c>
      <c r="G53" s="107">
        <f>SUM(G47:G52)</f>
        <v>0</v>
      </c>
    </row>
    <row r="54" spans="1:8" s="115" customFormat="1" ht="15.75" customHeight="1" thickTop="1" x14ac:dyDescent="0.5">
      <c r="A54" s="113"/>
      <c r="B54" s="114"/>
      <c r="G54" s="116"/>
    </row>
    <row r="55" spans="1:8" s="115" customFormat="1" ht="15.75" customHeight="1" x14ac:dyDescent="0.5">
      <c r="B55" s="114"/>
      <c r="G55" s="116"/>
    </row>
    <row r="56" spans="1:8" s="115" customFormat="1" ht="15.75" customHeight="1" x14ac:dyDescent="0.5">
      <c r="B56" s="114"/>
      <c r="G56" s="116"/>
    </row>
    <row r="57" spans="1:8" s="112" customFormat="1" ht="12.75" customHeight="1" x14ac:dyDescent="0.4">
      <c r="B57" s="117"/>
      <c r="G57" s="118"/>
    </row>
    <row r="58" spans="1:8" s="1" customFormat="1" ht="12.75" hidden="1" customHeight="1" x14ac:dyDescent="0.4">
      <c r="B58" s="65" t="s">
        <v>72</v>
      </c>
      <c r="G58" s="2"/>
    </row>
    <row r="59" spans="1:8" s="1" customFormat="1" ht="13.5" hidden="1" customHeight="1" thickBot="1" x14ac:dyDescent="0.45">
      <c r="A59" s="1" t="s">
        <v>2</v>
      </c>
      <c r="G59" s="2"/>
    </row>
    <row r="60" spans="1:8" s="122" customFormat="1" ht="13.5" hidden="1" customHeight="1" thickTop="1" x14ac:dyDescent="0.4">
      <c r="A60" s="119"/>
      <c r="B60" s="119"/>
      <c r="C60" s="120" t="s">
        <v>73</v>
      </c>
      <c r="D60" s="121"/>
      <c r="E60" s="286" t="s">
        <v>2</v>
      </c>
      <c r="F60" s="287"/>
      <c r="G60" s="256" t="s">
        <v>74</v>
      </c>
    </row>
    <row r="61" spans="1:8" s="122" customFormat="1" ht="13.5" hidden="1" customHeight="1" thickBot="1" x14ac:dyDescent="0.45">
      <c r="A61" s="123" t="s">
        <v>75</v>
      </c>
      <c r="B61" s="123" t="s">
        <v>76</v>
      </c>
      <c r="C61" s="124" t="s">
        <v>77</v>
      </c>
      <c r="D61" s="125" t="s">
        <v>78</v>
      </c>
      <c r="E61" s="276" t="s">
        <v>7</v>
      </c>
      <c r="F61" s="277"/>
      <c r="G61" s="257" t="s">
        <v>79</v>
      </c>
    </row>
    <row r="62" spans="1:8" s="1" customFormat="1" ht="12.75" hidden="1" customHeight="1" x14ac:dyDescent="0.4">
      <c r="A62" s="126" t="s">
        <v>26</v>
      </c>
      <c r="B62" s="126" t="s">
        <v>18</v>
      </c>
      <c r="C62" s="127" t="s">
        <v>80</v>
      </c>
      <c r="D62" s="128" t="s">
        <v>81</v>
      </c>
      <c r="E62" s="274" t="s">
        <v>82</v>
      </c>
      <c r="F62" s="275"/>
      <c r="G62" s="258" t="s">
        <v>11</v>
      </c>
    </row>
    <row r="63" spans="1:8" s="1" customFormat="1" ht="12.75" hidden="1" customHeight="1" x14ac:dyDescent="0.4">
      <c r="A63" s="129" t="s">
        <v>83</v>
      </c>
      <c r="B63" s="129" t="s">
        <v>84</v>
      </c>
      <c r="C63" s="130" t="s">
        <v>85</v>
      </c>
      <c r="D63" s="131" t="s">
        <v>86</v>
      </c>
      <c r="E63" s="272" t="s">
        <v>87</v>
      </c>
      <c r="F63" s="273"/>
      <c r="G63" s="258" t="s">
        <v>88</v>
      </c>
    </row>
    <row r="64" spans="1:8" s="1" customFormat="1" ht="12.75" hidden="1" customHeight="1" x14ac:dyDescent="0.4">
      <c r="A64" s="129"/>
      <c r="B64" s="129" t="s">
        <v>89</v>
      </c>
      <c r="C64" s="130" t="s">
        <v>90</v>
      </c>
      <c r="D64" s="131" t="s">
        <v>91</v>
      </c>
      <c r="E64" s="272" t="s">
        <v>92</v>
      </c>
      <c r="F64" s="273"/>
      <c r="G64" s="258" t="s">
        <v>93</v>
      </c>
    </row>
    <row r="65" spans="1:7" s="1" customFormat="1" ht="12.75" hidden="1" customHeight="1" x14ac:dyDescent="0.4">
      <c r="A65" s="129"/>
      <c r="B65" s="129" t="s">
        <v>2</v>
      </c>
      <c r="C65" s="130" t="s">
        <v>21</v>
      </c>
      <c r="D65" s="131" t="s">
        <v>94</v>
      </c>
      <c r="E65" s="272" t="s">
        <v>212</v>
      </c>
      <c r="F65" s="273"/>
      <c r="G65" s="258" t="s">
        <v>95</v>
      </c>
    </row>
    <row r="66" spans="1:7" s="1" customFormat="1" ht="12.75" hidden="1" customHeight="1" x14ac:dyDescent="0.4">
      <c r="A66" s="259"/>
      <c r="B66" s="253"/>
      <c r="C66" s="254">
        <v>0</v>
      </c>
      <c r="D66" s="250" t="s">
        <v>96</v>
      </c>
      <c r="E66" s="272" t="s">
        <v>97</v>
      </c>
      <c r="F66" s="273"/>
      <c r="G66" s="258" t="s">
        <v>98</v>
      </c>
    </row>
    <row r="67" spans="1:7" s="1" customFormat="1" ht="12.75" hidden="1" customHeight="1" x14ac:dyDescent="0.4">
      <c r="A67" s="259"/>
      <c r="B67" s="253"/>
      <c r="C67" s="254"/>
      <c r="D67" s="250" t="s">
        <v>99</v>
      </c>
      <c r="E67" s="272" t="s">
        <v>100</v>
      </c>
      <c r="F67" s="273"/>
      <c r="G67" s="258" t="s">
        <v>101</v>
      </c>
    </row>
    <row r="68" spans="1:7" s="1" customFormat="1" ht="12.75" hidden="1" customHeight="1" x14ac:dyDescent="0.4">
      <c r="A68" s="259"/>
      <c r="B68" s="253"/>
      <c r="C68" s="254"/>
      <c r="D68" s="250" t="s">
        <v>102</v>
      </c>
      <c r="E68" s="272" t="s">
        <v>103</v>
      </c>
      <c r="F68" s="273"/>
      <c r="G68" s="258" t="s">
        <v>104</v>
      </c>
    </row>
    <row r="69" spans="1:7" s="1" customFormat="1" ht="12.75" hidden="1" customHeight="1" x14ac:dyDescent="0.4">
      <c r="A69" s="259"/>
      <c r="B69" s="253"/>
      <c r="C69" s="254"/>
      <c r="D69" s="250" t="s">
        <v>105</v>
      </c>
      <c r="E69" s="272" t="s">
        <v>106</v>
      </c>
      <c r="F69" s="273"/>
      <c r="G69" s="258" t="s">
        <v>107</v>
      </c>
    </row>
    <row r="70" spans="1:7" s="1" customFormat="1" ht="12.75" hidden="1" customHeight="1" x14ac:dyDescent="0.4">
      <c r="A70" s="259"/>
      <c r="B70" s="253"/>
      <c r="C70" s="254"/>
      <c r="D70" s="250" t="s">
        <v>108</v>
      </c>
      <c r="E70" s="272" t="s">
        <v>109</v>
      </c>
      <c r="F70" s="273"/>
      <c r="G70" s="258" t="s">
        <v>110</v>
      </c>
    </row>
    <row r="71" spans="1:7" s="1" customFormat="1" ht="12.75" hidden="1" customHeight="1" x14ac:dyDescent="0.4">
      <c r="A71" s="259"/>
      <c r="B71" s="253"/>
      <c r="C71" s="254"/>
      <c r="D71" s="251" t="s">
        <v>111</v>
      </c>
      <c r="E71" s="132" t="s">
        <v>112</v>
      </c>
      <c r="F71" s="266"/>
      <c r="G71" s="258" t="s">
        <v>113</v>
      </c>
    </row>
    <row r="72" spans="1:7" s="1" customFormat="1" ht="12.75" hidden="1" customHeight="1" x14ac:dyDescent="0.4">
      <c r="A72" s="259"/>
      <c r="B72" s="253"/>
      <c r="C72" s="254"/>
      <c r="D72" s="250" t="s">
        <v>114</v>
      </c>
      <c r="E72" s="132" t="s">
        <v>115</v>
      </c>
      <c r="F72" s="266"/>
      <c r="G72" s="260" t="s">
        <v>116</v>
      </c>
    </row>
    <row r="73" spans="1:7" s="1" customFormat="1" ht="12.75" hidden="1" customHeight="1" x14ac:dyDescent="0.4">
      <c r="A73" s="259"/>
      <c r="B73" s="253"/>
      <c r="C73" s="254"/>
      <c r="D73" s="250" t="s">
        <v>93</v>
      </c>
      <c r="E73" s="133" t="s">
        <v>117</v>
      </c>
      <c r="F73" s="266"/>
      <c r="G73" s="260" t="s">
        <v>195</v>
      </c>
    </row>
    <row r="74" spans="1:7" s="1" customFormat="1" ht="12.75" hidden="1" customHeight="1" x14ac:dyDescent="0.4">
      <c r="A74" s="259"/>
      <c r="B74" s="253"/>
      <c r="C74" s="254"/>
      <c r="D74" s="250" t="s">
        <v>213</v>
      </c>
      <c r="E74" s="132" t="s">
        <v>8</v>
      </c>
      <c r="F74" s="266"/>
      <c r="G74" s="260"/>
    </row>
    <row r="75" spans="1:7" s="1" customFormat="1" ht="12.75" hidden="1" customHeight="1" x14ac:dyDescent="0.4">
      <c r="A75" s="259"/>
      <c r="B75" s="253"/>
      <c r="C75" s="254"/>
      <c r="D75" s="250" t="s">
        <v>118</v>
      </c>
      <c r="E75" s="132" t="s">
        <v>119</v>
      </c>
      <c r="F75" s="266"/>
      <c r="G75" s="260"/>
    </row>
    <row r="76" spans="1:7" s="1" customFormat="1" ht="12.75" hidden="1" customHeight="1" x14ac:dyDescent="0.4">
      <c r="A76" s="259"/>
      <c r="B76" s="253"/>
      <c r="C76" s="254"/>
      <c r="D76" s="251" t="s">
        <v>120</v>
      </c>
      <c r="E76" s="134" t="s">
        <v>121</v>
      </c>
      <c r="F76" s="135"/>
      <c r="G76" s="260"/>
    </row>
    <row r="77" spans="1:7" s="1" customFormat="1" ht="12.75" hidden="1" customHeight="1" x14ac:dyDescent="0.4">
      <c r="A77" s="259"/>
      <c r="B77" s="253"/>
      <c r="C77" s="254"/>
      <c r="D77" s="251" t="s">
        <v>196</v>
      </c>
      <c r="E77" s="134" t="s">
        <v>122</v>
      </c>
      <c r="F77" s="135"/>
      <c r="G77" s="260"/>
    </row>
    <row r="78" spans="1:7" s="1" customFormat="1" ht="12.75" hidden="1" customHeight="1" x14ac:dyDescent="0.4">
      <c r="A78" s="259"/>
      <c r="B78" s="253"/>
      <c r="C78" s="254"/>
      <c r="D78" s="250" t="s">
        <v>214</v>
      </c>
      <c r="E78" s="134" t="s">
        <v>123</v>
      </c>
      <c r="F78" s="135"/>
      <c r="G78" s="260"/>
    </row>
    <row r="79" spans="1:7" s="1" customFormat="1" ht="12.75" hidden="1" customHeight="1" x14ac:dyDescent="0.4">
      <c r="A79" s="259"/>
      <c r="B79" s="253"/>
      <c r="C79" s="254"/>
      <c r="D79" s="251"/>
      <c r="E79" s="134" t="s">
        <v>124</v>
      </c>
      <c r="F79" s="135"/>
      <c r="G79" s="260"/>
    </row>
    <row r="80" spans="1:7" s="1" customFormat="1" ht="12.75" hidden="1" customHeight="1" x14ac:dyDescent="0.4">
      <c r="A80" s="259"/>
      <c r="B80" s="253"/>
      <c r="C80" s="254"/>
      <c r="D80" s="251"/>
      <c r="E80" s="134" t="s">
        <v>125</v>
      </c>
      <c r="F80" s="135"/>
      <c r="G80" s="260"/>
    </row>
    <row r="81" spans="1:7" s="1" customFormat="1" ht="12.75" hidden="1" customHeight="1" x14ac:dyDescent="0.4">
      <c r="A81" s="259"/>
      <c r="B81" s="253"/>
      <c r="C81" s="254"/>
      <c r="D81" s="251"/>
      <c r="E81" s="134" t="s">
        <v>126</v>
      </c>
      <c r="F81" s="135"/>
      <c r="G81" s="260"/>
    </row>
    <row r="82" spans="1:7" s="1" customFormat="1" ht="12.75" hidden="1" customHeight="1" x14ac:dyDescent="0.4">
      <c r="A82" s="259"/>
      <c r="B82" s="253"/>
      <c r="C82" s="254"/>
      <c r="D82" s="251"/>
      <c r="E82" s="136" t="s">
        <v>127</v>
      </c>
      <c r="F82" s="135"/>
      <c r="G82" s="260"/>
    </row>
    <row r="83" spans="1:7" s="1" customFormat="1" ht="12.75" hidden="1" customHeight="1" x14ac:dyDescent="0.4">
      <c r="A83" s="259"/>
      <c r="B83" s="253"/>
      <c r="C83" s="254"/>
      <c r="D83" s="251"/>
      <c r="E83" s="134" t="s">
        <v>128</v>
      </c>
      <c r="F83" s="135"/>
      <c r="G83" s="260"/>
    </row>
    <row r="84" spans="1:7" s="1" customFormat="1" ht="12.75" hidden="1" customHeight="1" x14ac:dyDescent="0.4">
      <c r="A84" s="259"/>
      <c r="B84" s="253"/>
      <c r="C84" s="254"/>
      <c r="D84" s="251"/>
      <c r="E84" s="134" t="s">
        <v>129</v>
      </c>
      <c r="F84" s="135"/>
      <c r="G84" s="260"/>
    </row>
    <row r="85" spans="1:7" s="1" customFormat="1" ht="12.75" hidden="1" customHeight="1" x14ac:dyDescent="0.4">
      <c r="A85" s="259"/>
      <c r="B85" s="253"/>
      <c r="C85" s="254"/>
      <c r="D85" s="251"/>
      <c r="E85" s="134" t="s">
        <v>194</v>
      </c>
      <c r="F85" s="135"/>
      <c r="G85" s="260"/>
    </row>
    <row r="86" spans="1:7" s="1" customFormat="1" ht="12.6" hidden="1" customHeight="1" x14ac:dyDescent="0.4">
      <c r="A86" s="259"/>
      <c r="B86" s="253"/>
      <c r="C86" s="254"/>
      <c r="D86" s="251"/>
      <c r="E86" s="134" t="s">
        <v>197</v>
      </c>
      <c r="F86" s="135"/>
      <c r="G86" s="260"/>
    </row>
    <row r="87" spans="1:7" s="1" customFormat="1" ht="12.6" hidden="1" thickBot="1" x14ac:dyDescent="0.45">
      <c r="A87" s="259"/>
      <c r="B87" s="263"/>
      <c r="C87" s="264"/>
      <c r="D87" s="251"/>
      <c r="E87" s="137" t="s">
        <v>199</v>
      </c>
      <c r="F87" s="135"/>
      <c r="G87" s="260"/>
    </row>
    <row r="88" spans="1:7" s="1" customFormat="1" ht="12.6" hidden="1" customHeight="1" thickTop="1" x14ac:dyDescent="0.4">
      <c r="A88" s="259"/>
      <c r="B88" s="263"/>
      <c r="C88" s="264"/>
      <c r="D88" s="251"/>
      <c r="E88" s="134" t="s">
        <v>210</v>
      </c>
      <c r="F88" s="135"/>
      <c r="G88" s="260"/>
    </row>
    <row r="89" spans="1:7" s="1" customFormat="1" ht="12.6" hidden="1" customHeight="1" x14ac:dyDescent="0.4">
      <c r="A89" s="259"/>
      <c r="B89" s="263"/>
      <c r="C89" s="264"/>
      <c r="D89" s="251"/>
      <c r="E89" s="134" t="s">
        <v>211</v>
      </c>
      <c r="F89" s="135"/>
      <c r="G89" s="260"/>
    </row>
    <row r="90" spans="1:7" s="1" customFormat="1" ht="13.5" hidden="1" customHeight="1" thickBot="1" x14ac:dyDescent="0.45">
      <c r="A90" s="261"/>
      <c r="B90" s="137"/>
      <c r="C90" s="138"/>
      <c r="D90" s="252" t="s">
        <v>2</v>
      </c>
      <c r="E90" s="137"/>
      <c r="F90" s="138"/>
      <c r="G90" s="262"/>
    </row>
    <row r="91" spans="1:7" s="1" customFormat="1" ht="13.5" hidden="1" customHeight="1" thickTop="1" x14ac:dyDescent="0.4">
      <c r="E91" s="255"/>
      <c r="F91" s="255"/>
      <c r="G91" s="2"/>
    </row>
    <row r="92" spans="1:7" s="1" customFormat="1" ht="13.5" hidden="1" customHeight="1" x14ac:dyDescent="0.5">
      <c r="E92" s="139" t="s">
        <v>130</v>
      </c>
      <c r="F92" s="140"/>
      <c r="G92" s="141"/>
    </row>
    <row r="93" spans="1:7" s="140" customFormat="1" ht="15.75" hidden="1" customHeight="1" thickBot="1" x14ac:dyDescent="0.55000000000000004">
      <c r="A93" s="139" t="s">
        <v>131</v>
      </c>
      <c r="E93" s="142" t="s">
        <v>132</v>
      </c>
      <c r="F93" s="1"/>
      <c r="G93" s="141"/>
    </row>
    <row r="94" spans="1:7" s="1" customFormat="1" ht="14.25" hidden="1" customHeight="1" thickTop="1" thickBot="1" x14ac:dyDescent="0.45">
      <c r="A94" s="143" t="s">
        <v>133</v>
      </c>
      <c r="B94" s="143" t="s">
        <v>134</v>
      </c>
      <c r="C94" s="144" t="s">
        <v>135</v>
      </c>
      <c r="D94" s="144" t="s">
        <v>136</v>
      </c>
      <c r="E94" s="143" t="s">
        <v>133</v>
      </c>
      <c r="F94" s="143" t="s">
        <v>134</v>
      </c>
      <c r="G94" s="145" t="s">
        <v>137</v>
      </c>
    </row>
    <row r="95" spans="1:7" s="1" customFormat="1" ht="14.25" hidden="1" customHeight="1" thickTop="1" thickBot="1" x14ac:dyDescent="0.45">
      <c r="A95" s="146">
        <v>0</v>
      </c>
      <c r="B95" s="146">
        <v>0</v>
      </c>
      <c r="C95" s="147">
        <v>0</v>
      </c>
      <c r="D95" s="147">
        <v>0</v>
      </c>
      <c r="E95" s="146">
        <v>0</v>
      </c>
      <c r="F95" s="146">
        <v>0</v>
      </c>
      <c r="G95" s="148">
        <v>0</v>
      </c>
    </row>
    <row r="96" spans="1:7" s="1" customFormat="1" ht="16.5" hidden="1" customHeight="1" thickTop="1" thickBot="1" x14ac:dyDescent="0.55000000000000004">
      <c r="A96" s="149">
        <v>1</v>
      </c>
      <c r="B96" s="149">
        <v>1500</v>
      </c>
      <c r="C96" s="150">
        <v>300</v>
      </c>
      <c r="D96" s="150">
        <v>50</v>
      </c>
      <c r="E96" s="149">
        <v>1</v>
      </c>
      <c r="F96" s="149">
        <v>800</v>
      </c>
      <c r="G96" s="151">
        <v>20</v>
      </c>
    </row>
    <row r="97" spans="1:7" s="1" customFormat="1" ht="16.5" hidden="1" customHeight="1" thickTop="1" thickBot="1" x14ac:dyDescent="0.55000000000000004">
      <c r="A97" s="149">
        <v>1501</v>
      </c>
      <c r="B97" s="149">
        <v>5000</v>
      </c>
      <c r="C97" s="150">
        <v>800</v>
      </c>
      <c r="D97" s="150">
        <v>100</v>
      </c>
      <c r="E97" s="149">
        <v>801</v>
      </c>
      <c r="F97" s="149">
        <v>5000</v>
      </c>
      <c r="G97" s="151">
        <v>125</v>
      </c>
    </row>
    <row r="98" spans="1:7" s="1" customFormat="1" ht="16.5" hidden="1" customHeight="1" thickTop="1" thickBot="1" x14ac:dyDescent="0.55000000000000004">
      <c r="A98" s="149">
        <v>5001</v>
      </c>
      <c r="B98" s="149">
        <v>10000</v>
      </c>
      <c r="C98" s="150">
        <v>1500</v>
      </c>
      <c r="D98" s="150">
        <v>150</v>
      </c>
      <c r="E98" s="149">
        <v>5001</v>
      </c>
      <c r="F98" s="149">
        <v>1000000</v>
      </c>
      <c r="G98" s="151">
        <v>700</v>
      </c>
    </row>
    <row r="99" spans="1:7" s="1" customFormat="1" ht="16.5" hidden="1" customHeight="1" thickTop="1" thickBot="1" x14ac:dyDescent="0.55000000000000004">
      <c r="A99" s="149">
        <v>10001</v>
      </c>
      <c r="B99" s="149">
        <v>15000</v>
      </c>
      <c r="C99" s="150">
        <v>2200</v>
      </c>
      <c r="D99" s="150">
        <v>200</v>
      </c>
      <c r="E99" s="152" t="s">
        <v>138</v>
      </c>
      <c r="G99" s="2"/>
    </row>
    <row r="100" spans="1:7" s="1" customFormat="1" ht="16.5" hidden="1" customHeight="1" thickTop="1" thickBot="1" x14ac:dyDescent="0.55000000000000004">
      <c r="A100" s="149">
        <v>15001</v>
      </c>
      <c r="B100" s="149">
        <v>20000</v>
      </c>
      <c r="C100" s="150">
        <v>2900</v>
      </c>
      <c r="D100" s="150">
        <v>250</v>
      </c>
      <c r="E100" s="152" t="s">
        <v>139</v>
      </c>
      <c r="G100" s="2"/>
    </row>
    <row r="101" spans="1:7" s="1" customFormat="1" ht="16.5" hidden="1" customHeight="1" thickTop="1" thickBot="1" x14ac:dyDescent="0.55000000000000004">
      <c r="A101" s="149">
        <v>20001</v>
      </c>
      <c r="B101" s="149">
        <v>25000</v>
      </c>
      <c r="C101" s="150">
        <v>3600</v>
      </c>
      <c r="D101" s="150">
        <v>300</v>
      </c>
      <c r="E101" s="152" t="s">
        <v>140</v>
      </c>
      <c r="G101" s="2"/>
    </row>
    <row r="102" spans="1:7" s="1" customFormat="1" ht="16.5" hidden="1" customHeight="1" thickTop="1" thickBot="1" x14ac:dyDescent="0.55000000000000004">
      <c r="A102" s="149">
        <v>25000</v>
      </c>
      <c r="B102" s="149">
        <v>1000000</v>
      </c>
      <c r="C102" s="150">
        <v>4500</v>
      </c>
      <c r="D102" s="150">
        <v>400</v>
      </c>
      <c r="F102" s="141"/>
      <c r="G102" s="2"/>
    </row>
    <row r="103" spans="1:7" s="1" customFormat="1" ht="13.5" hidden="1" customHeight="1" thickTop="1" x14ac:dyDescent="0.4">
      <c r="A103" s="153"/>
      <c r="F103" s="141"/>
      <c r="G103" s="2"/>
    </row>
    <row r="104" spans="1:7" s="1" customFormat="1" ht="15" hidden="1" customHeight="1" x14ac:dyDescent="0.5">
      <c r="A104" s="153"/>
      <c r="C104" s="139" t="s">
        <v>141</v>
      </c>
      <c r="F104" s="141"/>
      <c r="G104" s="2"/>
    </row>
    <row r="105" spans="1:7" s="154" customFormat="1" ht="17.25" hidden="1" customHeight="1" thickBot="1" x14ac:dyDescent="0.55000000000000004">
      <c r="C105" s="139" t="s">
        <v>142</v>
      </c>
      <c r="D105" s="139"/>
      <c r="F105" s="154" t="s">
        <v>143</v>
      </c>
      <c r="G105" s="155"/>
    </row>
    <row r="106" spans="1:7" s="140" customFormat="1" ht="16.5" hidden="1" customHeight="1" thickTop="1" thickBot="1" x14ac:dyDescent="0.55000000000000004">
      <c r="B106" s="143" t="s">
        <v>144</v>
      </c>
      <c r="C106" s="156" t="s">
        <v>145</v>
      </c>
      <c r="D106" s="157" t="s">
        <v>47</v>
      </c>
      <c r="E106" s="143" t="s">
        <v>144</v>
      </c>
      <c r="F106" s="156" t="s">
        <v>145</v>
      </c>
      <c r="G106" s="157" t="s">
        <v>47</v>
      </c>
    </row>
    <row r="107" spans="1:7" s="140" customFormat="1" ht="15.75" hidden="1" customHeight="1" thickTop="1" thickBot="1" x14ac:dyDescent="0.55000000000000004">
      <c r="B107" s="158">
        <v>1</v>
      </c>
      <c r="C107" s="158">
        <v>500</v>
      </c>
      <c r="D107" s="159">
        <v>0</v>
      </c>
      <c r="E107" s="158">
        <v>1</v>
      </c>
      <c r="F107" s="158">
        <v>5000</v>
      </c>
      <c r="G107" s="159">
        <v>26.4</v>
      </c>
    </row>
    <row r="108" spans="1:7" s="140" customFormat="1" ht="15" hidden="1" customHeight="1" thickTop="1" x14ac:dyDescent="0.5">
      <c r="B108" s="160">
        <v>501</v>
      </c>
      <c r="C108" s="160">
        <v>1000</v>
      </c>
      <c r="D108" s="159">
        <v>26.4</v>
      </c>
      <c r="E108" s="160">
        <v>5001</v>
      </c>
      <c r="F108" s="160">
        <v>15000</v>
      </c>
      <c r="G108" s="161">
        <v>31.9</v>
      </c>
    </row>
    <row r="109" spans="1:7" s="140" customFormat="1" ht="15" hidden="1" customHeight="1" x14ac:dyDescent="0.5">
      <c r="B109" s="160">
        <v>1001</v>
      </c>
      <c r="C109" s="160">
        <v>2500</v>
      </c>
      <c r="D109" s="161">
        <v>34.1</v>
      </c>
      <c r="E109" s="160">
        <v>15001</v>
      </c>
      <c r="F109" s="160">
        <v>25000</v>
      </c>
      <c r="G109" s="161">
        <v>37.4</v>
      </c>
    </row>
    <row r="110" spans="1:7" s="140" customFormat="1" ht="15" hidden="1" customHeight="1" x14ac:dyDescent="0.5">
      <c r="B110" s="160">
        <v>2501</v>
      </c>
      <c r="C110" s="160">
        <v>4000</v>
      </c>
      <c r="D110" s="162">
        <v>41.8</v>
      </c>
      <c r="E110" s="160">
        <v>25001</v>
      </c>
      <c r="F110" s="160">
        <v>35000</v>
      </c>
      <c r="G110" s="162">
        <v>41.8</v>
      </c>
    </row>
    <row r="111" spans="1:7" s="140" customFormat="1" ht="15" hidden="1" customHeight="1" x14ac:dyDescent="0.5">
      <c r="B111" s="160">
        <v>4001</v>
      </c>
      <c r="C111" s="160">
        <v>5000</v>
      </c>
      <c r="D111" s="161">
        <v>45.1</v>
      </c>
      <c r="E111" s="160">
        <v>35001</v>
      </c>
      <c r="F111" s="160">
        <v>45000</v>
      </c>
      <c r="G111" s="161">
        <v>45.1</v>
      </c>
    </row>
    <row r="112" spans="1:7" s="140" customFormat="1" ht="15" hidden="1" customHeight="1" x14ac:dyDescent="0.5">
      <c r="B112" s="160">
        <v>5001</v>
      </c>
      <c r="C112" s="160">
        <v>7000</v>
      </c>
      <c r="D112" s="163">
        <v>49.5</v>
      </c>
      <c r="E112" s="160">
        <v>45001</v>
      </c>
      <c r="F112" s="160">
        <v>55000</v>
      </c>
      <c r="G112" s="163">
        <v>49.5</v>
      </c>
    </row>
    <row r="113" spans="1:7" s="140" customFormat="1" ht="15" hidden="1" customHeight="1" x14ac:dyDescent="0.5">
      <c r="B113" s="160">
        <v>7001</v>
      </c>
      <c r="C113" s="160">
        <v>10000</v>
      </c>
      <c r="D113" s="161">
        <v>52.8</v>
      </c>
      <c r="E113" s="160">
        <v>55001</v>
      </c>
      <c r="F113" s="160">
        <v>65000</v>
      </c>
      <c r="G113" s="161">
        <v>52.8</v>
      </c>
    </row>
    <row r="114" spans="1:7" s="140" customFormat="1" ht="15" hidden="1" customHeight="1" x14ac:dyDescent="0.5">
      <c r="B114" s="160">
        <v>10001</v>
      </c>
      <c r="C114" s="160">
        <v>20000</v>
      </c>
      <c r="D114" s="161">
        <v>57.2</v>
      </c>
      <c r="E114" s="160">
        <v>65001</v>
      </c>
      <c r="F114" s="160">
        <v>75000</v>
      </c>
      <c r="G114" s="161">
        <v>57.2</v>
      </c>
    </row>
    <row r="115" spans="1:7" s="140" customFormat="1" ht="15" hidden="1" customHeight="1" x14ac:dyDescent="0.5">
      <c r="B115" s="160">
        <v>20001</v>
      </c>
      <c r="C115" s="160">
        <v>30000</v>
      </c>
      <c r="D115" s="161">
        <v>60.5</v>
      </c>
      <c r="E115" s="160">
        <v>76001</v>
      </c>
      <c r="F115" s="160">
        <v>100000</v>
      </c>
      <c r="G115" s="161">
        <v>60.5</v>
      </c>
    </row>
    <row r="116" spans="1:7" s="140" customFormat="1" ht="15.75" hidden="1" customHeight="1" thickBot="1" x14ac:dyDescent="0.55000000000000004">
      <c r="B116" s="164">
        <v>30001</v>
      </c>
      <c r="C116" s="164">
        <v>1000000</v>
      </c>
      <c r="D116" s="165">
        <v>64.900000000000006</v>
      </c>
      <c r="E116" s="164">
        <v>100000</v>
      </c>
      <c r="F116" s="164">
        <v>150000</v>
      </c>
      <c r="G116" s="165">
        <v>64.900000000000006</v>
      </c>
    </row>
    <row r="117" spans="1:7" s="1" customFormat="1" ht="13.5" hidden="1" customHeight="1" thickTop="1" thickBot="1" x14ac:dyDescent="0.45">
      <c r="A117" s="153"/>
      <c r="B117" s="164"/>
      <c r="C117" s="164"/>
      <c r="D117" s="165"/>
      <c r="E117" s="164">
        <v>150001</v>
      </c>
      <c r="F117" s="164">
        <v>250000</v>
      </c>
      <c r="G117" s="165">
        <v>68.2</v>
      </c>
    </row>
    <row r="118" spans="1:7" s="112" customFormat="1" ht="13.5" hidden="1" customHeight="1" thickTop="1" thickBot="1" x14ac:dyDescent="0.45">
      <c r="B118" s="164"/>
      <c r="C118" s="164"/>
      <c r="D118" s="165"/>
      <c r="E118" s="164">
        <v>250001</v>
      </c>
      <c r="F118" s="164">
        <v>10000000</v>
      </c>
      <c r="G118" s="165">
        <v>72.599999999999994</v>
      </c>
    </row>
    <row r="119" spans="1:7" s="112" customFormat="1" ht="13.5" hidden="1" customHeight="1" thickTop="1" x14ac:dyDescent="0.4">
      <c r="B119" s="117"/>
      <c r="E119" s="166"/>
      <c r="F119" s="166"/>
      <c r="G119" s="167"/>
    </row>
    <row r="120" spans="1:7" s="112" customFormat="1" ht="13.5" hidden="1" customHeight="1" x14ac:dyDescent="0.4">
      <c r="B120" s="117"/>
      <c r="E120" s="166"/>
      <c r="F120" s="166"/>
      <c r="G120" s="167"/>
    </row>
    <row r="121" spans="1:7" s="112" customFormat="1" ht="15" hidden="1" customHeight="1" x14ac:dyDescent="0.4">
      <c r="E121" s="166"/>
      <c r="F121" s="166"/>
      <c r="G121" s="118"/>
    </row>
    <row r="122" spans="1:7" s="112" customFormat="1" ht="15" hidden="1" customHeight="1" thickBot="1" x14ac:dyDescent="0.55000000000000004">
      <c r="B122" s="139" t="s">
        <v>146</v>
      </c>
      <c r="E122" s="166"/>
      <c r="F122" s="166"/>
      <c r="G122" s="118" t="s">
        <v>147</v>
      </c>
    </row>
    <row r="123" spans="1:7" s="112" customFormat="1" ht="15" hidden="1" customHeight="1" thickTop="1" thickBot="1" x14ac:dyDescent="0.45">
      <c r="A123" s="168" t="s">
        <v>148</v>
      </c>
      <c r="B123" s="169"/>
      <c r="C123" s="170"/>
      <c r="D123" s="170" t="s">
        <v>4</v>
      </c>
      <c r="E123" s="170"/>
      <c r="F123" s="168" t="s">
        <v>149</v>
      </c>
      <c r="G123" s="171" t="s">
        <v>150</v>
      </c>
    </row>
    <row r="124" spans="1:7" s="112" customFormat="1" ht="13.5" hidden="1" customHeight="1" thickTop="1" x14ac:dyDescent="0.55000000000000004">
      <c r="A124" s="172" t="s">
        <v>6</v>
      </c>
      <c r="B124" s="173" t="s">
        <v>151</v>
      </c>
      <c r="C124" s="174"/>
      <c r="D124" s="174"/>
      <c r="E124" s="175"/>
      <c r="F124" s="176">
        <v>9513</v>
      </c>
      <c r="G124" s="177">
        <v>10340</v>
      </c>
    </row>
    <row r="125" spans="1:7" s="112" customFormat="1" ht="12.3" hidden="1" x14ac:dyDescent="0.4">
      <c r="A125" s="178" t="s">
        <v>9</v>
      </c>
      <c r="B125" s="179" t="s">
        <v>152</v>
      </c>
      <c r="C125" s="166"/>
      <c r="D125" s="166"/>
      <c r="E125" s="180"/>
      <c r="F125" s="181" t="s">
        <v>2</v>
      </c>
      <c r="G125" s="182"/>
    </row>
    <row r="126" spans="1:7" s="112" customFormat="1" ht="12.3" hidden="1" x14ac:dyDescent="0.4">
      <c r="A126" s="183" t="s">
        <v>153</v>
      </c>
      <c r="B126" s="166" t="s">
        <v>154</v>
      </c>
      <c r="C126" s="166"/>
      <c r="D126" s="166"/>
      <c r="E126" s="180"/>
      <c r="F126" s="181">
        <v>18971</v>
      </c>
      <c r="G126" s="182">
        <v>20619</v>
      </c>
    </row>
    <row r="127" spans="1:7" s="112" customFormat="1" ht="12.3" hidden="1" x14ac:dyDescent="0.4">
      <c r="A127" s="183" t="s">
        <v>153</v>
      </c>
      <c r="B127" s="166" t="s">
        <v>155</v>
      </c>
      <c r="C127" s="166"/>
      <c r="D127" s="166"/>
      <c r="E127" s="180"/>
      <c r="F127" s="181"/>
      <c r="G127" s="182"/>
    </row>
    <row r="128" spans="1:7" s="112" customFormat="1" ht="12.6" hidden="1" thickBot="1" x14ac:dyDescent="0.45">
      <c r="A128" s="184"/>
      <c r="B128" s="185" t="s">
        <v>156</v>
      </c>
      <c r="C128" s="185"/>
      <c r="D128" s="185"/>
      <c r="E128" s="186"/>
      <c r="F128" s="187">
        <v>74</v>
      </c>
      <c r="G128" s="188">
        <v>78</v>
      </c>
    </row>
    <row r="129" spans="1:7" s="112" customFormat="1" ht="12.6" hidden="1" thickTop="1" x14ac:dyDescent="0.4">
      <c r="B129" s="117"/>
      <c r="G129" s="118"/>
    </row>
    <row r="130" spans="1:7" s="112" customFormat="1" ht="12.3" hidden="1" x14ac:dyDescent="0.4">
      <c r="B130" s="117"/>
      <c r="G130" s="118"/>
    </row>
    <row r="131" spans="1:7" s="112" customFormat="1" ht="12.3" hidden="1" x14ac:dyDescent="0.4">
      <c r="B131" s="117"/>
      <c r="G131" s="118"/>
    </row>
    <row r="132" spans="1:7" s="112" customFormat="1" ht="12.3" hidden="1" x14ac:dyDescent="0.4">
      <c r="B132" s="117" t="s">
        <v>157</v>
      </c>
      <c r="F132" s="118"/>
      <c r="G132" s="189"/>
    </row>
    <row r="133" spans="1:7" s="112" customFormat="1" ht="12.6" hidden="1" thickBot="1" x14ac:dyDescent="0.45">
      <c r="A133" s="142" t="s">
        <v>132</v>
      </c>
      <c r="B133" s="1"/>
      <c r="C133" s="141"/>
      <c r="D133" s="10"/>
      <c r="E133" s="109" t="s">
        <v>158</v>
      </c>
      <c r="F133" s="12"/>
      <c r="G133" s="190">
        <v>9000</v>
      </c>
    </row>
    <row r="134" spans="1:7" s="112" customFormat="1" ht="12.9" hidden="1" thickTop="1" thickBot="1" x14ac:dyDescent="0.45">
      <c r="A134" s="143" t="s">
        <v>133</v>
      </c>
      <c r="B134" s="143" t="s">
        <v>134</v>
      </c>
      <c r="C134" s="191" t="s">
        <v>137</v>
      </c>
      <c r="D134" s="192" t="s">
        <v>159</v>
      </c>
      <c r="E134" s="193"/>
      <c r="F134" s="194"/>
      <c r="G134" s="195"/>
    </row>
    <row r="135" spans="1:7" ht="15" hidden="1" thickTop="1" thickBot="1" x14ac:dyDescent="0.6">
      <c r="A135" s="196">
        <v>1</v>
      </c>
      <c r="B135" s="196">
        <v>10000</v>
      </c>
      <c r="C135" s="197">
        <v>1000</v>
      </c>
      <c r="D135" s="198" t="s">
        <v>160</v>
      </c>
      <c r="E135" s="199" t="s">
        <v>161</v>
      </c>
      <c r="F135" s="200"/>
      <c r="G135" s="201" t="s">
        <v>162</v>
      </c>
    </row>
    <row r="136" spans="1:7" ht="15.9" hidden="1" thickTop="1" thickBot="1" x14ac:dyDescent="0.6">
      <c r="A136" s="149">
        <v>10001</v>
      </c>
      <c r="B136" s="149">
        <v>15000</v>
      </c>
      <c r="C136" s="202">
        <v>1560</v>
      </c>
      <c r="D136" s="198">
        <v>1</v>
      </c>
      <c r="E136" s="199">
        <v>50</v>
      </c>
      <c r="F136" s="200"/>
      <c r="G136" s="203">
        <v>660000</v>
      </c>
    </row>
    <row r="137" spans="1:7" ht="15.9" hidden="1" thickTop="1" thickBot="1" x14ac:dyDescent="0.6">
      <c r="A137" s="149">
        <v>15001</v>
      </c>
      <c r="B137" s="149">
        <v>20000</v>
      </c>
      <c r="C137" s="202">
        <v>2120</v>
      </c>
      <c r="D137" s="198">
        <v>51</v>
      </c>
      <c r="E137" s="199">
        <v>100</v>
      </c>
      <c r="F137" s="200"/>
      <c r="G137" s="203">
        <v>1080000</v>
      </c>
    </row>
    <row r="138" spans="1:7" ht="15.9" hidden="1" thickTop="1" thickBot="1" x14ac:dyDescent="0.6">
      <c r="A138" s="149">
        <v>20001</v>
      </c>
      <c r="B138" s="149">
        <v>1000000</v>
      </c>
      <c r="C138" s="202">
        <v>2680</v>
      </c>
      <c r="D138" s="198">
        <v>101</v>
      </c>
      <c r="E138" s="199">
        <v>150</v>
      </c>
      <c r="F138" s="200"/>
      <c r="G138" s="203">
        <v>1620000</v>
      </c>
    </row>
    <row r="139" spans="1:7" ht="15" hidden="1" thickTop="1" thickBot="1" x14ac:dyDescent="0.6">
      <c r="A139" s="204" t="s">
        <v>163</v>
      </c>
      <c r="B139" s="11"/>
      <c r="C139" s="10"/>
      <c r="D139" s="205">
        <v>151</v>
      </c>
      <c r="E139" s="206">
        <v>200</v>
      </c>
      <c r="F139" s="207"/>
      <c r="G139" s="208">
        <v>2520000</v>
      </c>
    </row>
    <row r="140" spans="1:7" ht="15" hidden="1" thickTop="1" thickBot="1" x14ac:dyDescent="0.6">
      <c r="A140" s="204" t="s">
        <v>164</v>
      </c>
      <c r="B140" s="11"/>
      <c r="C140" s="191" t="s">
        <v>137</v>
      </c>
      <c r="D140" s="209" t="s">
        <v>165</v>
      </c>
      <c r="E140" s="210"/>
      <c r="F140" s="211" t="s">
        <v>166</v>
      </c>
      <c r="G140" s="212">
        <v>2000000</v>
      </c>
    </row>
    <row r="141" spans="1:7" ht="15" hidden="1" thickTop="1" thickBot="1" x14ac:dyDescent="0.6">
      <c r="A141" s="213" t="s">
        <v>167</v>
      </c>
      <c r="B141" s="214"/>
      <c r="C141" s="215">
        <v>6363</v>
      </c>
      <c r="D141" s="209" t="s">
        <v>168</v>
      </c>
      <c r="E141" s="210"/>
      <c r="F141" s="216" t="s">
        <v>169</v>
      </c>
      <c r="G141" s="212">
        <v>50</v>
      </c>
    </row>
    <row r="142" spans="1:7" ht="15.9" hidden="1" thickTop="1" thickBot="1" x14ac:dyDescent="0.6">
      <c r="A142" s="217" t="s">
        <v>170</v>
      </c>
      <c r="B142" s="149"/>
      <c r="C142" s="202">
        <v>957</v>
      </c>
      <c r="D142" s="209" t="s">
        <v>171</v>
      </c>
      <c r="E142" s="210"/>
      <c r="F142" s="216" t="s">
        <v>169</v>
      </c>
      <c r="G142" s="212">
        <v>50</v>
      </c>
    </row>
    <row r="143" spans="1:7" ht="15.9" hidden="1" thickTop="1" thickBot="1" x14ac:dyDescent="0.6">
      <c r="A143" s="149" t="s">
        <v>172</v>
      </c>
      <c r="B143" s="149"/>
      <c r="C143" s="202">
        <v>474</v>
      </c>
      <c r="D143" s="209" t="s">
        <v>173</v>
      </c>
      <c r="E143" s="210"/>
      <c r="F143" s="216" t="s">
        <v>169</v>
      </c>
      <c r="G143" s="212">
        <v>20</v>
      </c>
    </row>
    <row r="144" spans="1:7" ht="15.9" hidden="1" thickTop="1" thickBot="1" x14ac:dyDescent="0.6">
      <c r="A144" s="149" t="s">
        <v>174</v>
      </c>
      <c r="B144" s="149"/>
      <c r="C144" s="202">
        <v>500</v>
      </c>
      <c r="D144" s="209" t="s">
        <v>175</v>
      </c>
      <c r="E144" s="210"/>
      <c r="F144" s="211" t="s">
        <v>176</v>
      </c>
      <c r="G144" s="212">
        <v>80000</v>
      </c>
    </row>
    <row r="145" spans="1:7" ht="14.7" hidden="1" thickTop="1" x14ac:dyDescent="0.55000000000000004">
      <c r="A145" s="10"/>
      <c r="B145" s="11"/>
      <c r="C145" s="10"/>
      <c r="D145" s="10"/>
      <c r="E145" s="10"/>
      <c r="F145" s="10"/>
      <c r="G145" s="12"/>
    </row>
    <row r="146" spans="1:7" ht="14.7" hidden="1" thickBot="1" x14ac:dyDescent="0.6">
      <c r="A146" s="10"/>
      <c r="B146" s="218" t="s">
        <v>177</v>
      </c>
      <c r="C146" s="10"/>
      <c r="D146" s="10"/>
      <c r="E146" s="10"/>
      <c r="F146" s="10"/>
      <c r="G146" s="12"/>
    </row>
    <row r="147" spans="1:7" hidden="1" x14ac:dyDescent="0.55000000000000004">
      <c r="A147" s="219"/>
      <c r="B147" s="220" t="s">
        <v>178</v>
      </c>
      <c r="C147" s="221"/>
      <c r="D147" s="221"/>
      <c r="E147" s="221"/>
      <c r="F147" s="221"/>
      <c r="G147" s="222"/>
    </row>
    <row r="148" spans="1:7" hidden="1" x14ac:dyDescent="0.55000000000000004">
      <c r="A148" s="223" t="s">
        <v>179</v>
      </c>
      <c r="B148" s="224"/>
      <c r="C148" s="200"/>
      <c r="D148" s="200"/>
      <c r="E148" s="200"/>
      <c r="F148" s="200"/>
      <c r="G148" s="225"/>
    </row>
    <row r="149" spans="1:7" hidden="1" x14ac:dyDescent="0.55000000000000004">
      <c r="A149" s="223" t="s">
        <v>180</v>
      </c>
      <c r="B149" s="224"/>
      <c r="C149" s="200"/>
      <c r="D149" s="200"/>
      <c r="E149" s="200"/>
      <c r="F149" s="200"/>
      <c r="G149" s="225"/>
    </row>
    <row r="150" spans="1:7" hidden="1" x14ac:dyDescent="0.55000000000000004">
      <c r="A150" s="223" t="s">
        <v>2</v>
      </c>
      <c r="B150" s="224" t="s">
        <v>181</v>
      </c>
      <c r="C150" s="200" t="s">
        <v>182</v>
      </c>
      <c r="D150" s="200"/>
      <c r="E150" s="200"/>
      <c r="F150" s="200"/>
      <c r="G150" s="225"/>
    </row>
    <row r="151" spans="1:7" ht="14.7" hidden="1" thickBot="1" x14ac:dyDescent="0.6">
      <c r="A151" s="226"/>
      <c r="B151" s="227" t="s">
        <v>183</v>
      </c>
      <c r="C151" s="228" t="s">
        <v>184</v>
      </c>
      <c r="D151" s="228"/>
      <c r="E151" s="228"/>
      <c r="F151" s="228"/>
      <c r="G151" s="229"/>
    </row>
    <row r="152" spans="1:7" ht="14.7" hidden="1" thickBot="1" x14ac:dyDescent="0.6">
      <c r="A152" s="10"/>
      <c r="B152" s="11" t="s">
        <v>185</v>
      </c>
      <c r="C152" s="10"/>
      <c r="D152" s="10"/>
      <c r="E152" s="10" t="s">
        <v>186</v>
      </c>
      <c r="F152" s="10" t="s">
        <v>187</v>
      </c>
      <c r="G152" s="230" t="s">
        <v>188</v>
      </c>
    </row>
    <row r="153" spans="1:7" ht="15" hidden="1" thickTop="1" thickBot="1" x14ac:dyDescent="0.6">
      <c r="A153" s="219"/>
      <c r="B153" s="220" t="s">
        <v>189</v>
      </c>
      <c r="C153" s="231"/>
      <c r="D153" s="10"/>
      <c r="E153" s="143" t="s">
        <v>144</v>
      </c>
      <c r="F153" s="143" t="s">
        <v>190</v>
      </c>
      <c r="G153" s="232" t="s">
        <v>47</v>
      </c>
    </row>
    <row r="154" spans="1:7" ht="15.9" hidden="1" thickTop="1" thickBot="1" x14ac:dyDescent="0.6">
      <c r="A154" s="223">
        <v>1</v>
      </c>
      <c r="B154" s="224">
        <v>3</v>
      </c>
      <c r="C154" s="233">
        <v>35000000</v>
      </c>
      <c r="D154" s="10"/>
      <c r="E154" s="234">
        <v>1</v>
      </c>
      <c r="F154" s="234">
        <v>800</v>
      </c>
      <c r="G154" s="235">
        <v>10</v>
      </c>
    </row>
    <row r="155" spans="1:7" ht="15.9" hidden="1" thickTop="1" thickBot="1" x14ac:dyDescent="0.6">
      <c r="A155" s="226" t="s">
        <v>191</v>
      </c>
      <c r="B155" s="227"/>
      <c r="C155" s="236"/>
      <c r="D155" s="10"/>
      <c r="E155" s="237">
        <v>801</v>
      </c>
      <c r="F155" s="237">
        <v>5000</v>
      </c>
      <c r="G155" s="238">
        <v>20</v>
      </c>
    </row>
    <row r="156" spans="1:7" ht="15.9" hidden="1" thickTop="1" thickBot="1" x14ac:dyDescent="0.6">
      <c r="A156" s="10"/>
      <c r="B156" s="11"/>
      <c r="C156" s="10"/>
      <c r="D156" s="10"/>
      <c r="E156" s="237">
        <v>5001</v>
      </c>
      <c r="F156" s="237">
        <v>1000000</v>
      </c>
      <c r="G156" s="238">
        <v>100</v>
      </c>
    </row>
    <row r="157" spans="1:7" ht="14.7" hidden="1" thickTop="1" x14ac:dyDescent="0.55000000000000004">
      <c r="A157" s="239"/>
      <c r="B157" s="11"/>
      <c r="C157" s="10"/>
      <c r="D157" s="10"/>
      <c r="E157" s="10"/>
      <c r="F157" s="10"/>
      <c r="G157" s="12"/>
    </row>
    <row r="158" spans="1:7" ht="14.7" hidden="1" thickBot="1" x14ac:dyDescent="0.6">
      <c r="A158" s="239"/>
      <c r="B158" s="240"/>
      <c r="C158" s="10"/>
      <c r="D158" s="10"/>
      <c r="E158" s="241" t="s">
        <v>192</v>
      </c>
      <c r="F158" s="11"/>
      <c r="G158" s="10"/>
    </row>
    <row r="159" spans="1:7" ht="15" hidden="1" thickTop="1" thickBot="1" x14ac:dyDescent="0.6">
      <c r="A159" s="241"/>
      <c r="B159" s="11" t="s">
        <v>193</v>
      </c>
      <c r="C159" s="10"/>
      <c r="D159" s="10"/>
      <c r="E159" s="143" t="s">
        <v>133</v>
      </c>
      <c r="F159" s="143" t="s">
        <v>134</v>
      </c>
      <c r="G159" s="191" t="s">
        <v>137</v>
      </c>
    </row>
    <row r="160" spans="1:7" ht="15" hidden="1" thickTop="1" thickBot="1" x14ac:dyDescent="0.6">
      <c r="A160" s="143" t="s">
        <v>133</v>
      </c>
      <c r="B160" s="143" t="s">
        <v>134</v>
      </c>
      <c r="C160" s="191" t="s">
        <v>137</v>
      </c>
      <c r="D160" s="10"/>
      <c r="E160" s="143">
        <v>0</v>
      </c>
      <c r="F160" s="143">
        <v>0</v>
      </c>
      <c r="G160" s="191">
        <v>0</v>
      </c>
    </row>
    <row r="161" spans="1:7" ht="15.9" hidden="1" thickTop="1" thickBot="1" x14ac:dyDescent="0.6">
      <c r="A161" s="143">
        <v>0</v>
      </c>
      <c r="B161" s="143">
        <v>0</v>
      </c>
      <c r="C161" s="191">
        <v>0</v>
      </c>
      <c r="D161" s="10"/>
      <c r="E161" s="242">
        <v>1</v>
      </c>
      <c r="F161" s="234">
        <v>1500</v>
      </c>
      <c r="G161" s="243">
        <v>260</v>
      </c>
    </row>
    <row r="162" spans="1:7" ht="15.9" hidden="1" thickTop="1" thickBot="1" x14ac:dyDescent="0.6">
      <c r="A162" s="242">
        <v>1</v>
      </c>
      <c r="B162" s="234">
        <v>200</v>
      </c>
      <c r="C162" s="243">
        <v>1</v>
      </c>
      <c r="E162" s="149">
        <v>1501</v>
      </c>
      <c r="F162" s="149">
        <v>5000</v>
      </c>
      <c r="G162" s="202">
        <v>670</v>
      </c>
    </row>
    <row r="163" spans="1:7" ht="15.9" hidden="1" thickTop="1" thickBot="1" x14ac:dyDescent="0.6">
      <c r="A163" s="149">
        <v>201</v>
      </c>
      <c r="B163" s="149">
        <v>500</v>
      </c>
      <c r="C163" s="202">
        <v>2</v>
      </c>
      <c r="E163" s="149">
        <v>5001</v>
      </c>
      <c r="F163" s="149">
        <v>10000</v>
      </c>
      <c r="G163" s="202">
        <v>1300</v>
      </c>
    </row>
    <row r="164" spans="1:7" ht="15.9" hidden="1" thickTop="1" thickBot="1" x14ac:dyDescent="0.6">
      <c r="A164" s="149">
        <v>501</v>
      </c>
      <c r="B164" s="149">
        <v>1000</v>
      </c>
      <c r="C164" s="202">
        <v>4</v>
      </c>
      <c r="E164" s="149">
        <v>10001</v>
      </c>
      <c r="F164" s="149">
        <v>1000000</v>
      </c>
      <c r="G164" s="202">
        <v>1800</v>
      </c>
    </row>
    <row r="165" spans="1:7" ht="15.9" hidden="1" thickTop="1" thickBot="1" x14ac:dyDescent="0.6">
      <c r="A165" s="149">
        <v>1001</v>
      </c>
      <c r="B165" s="149">
        <v>5000</v>
      </c>
      <c r="C165" s="202">
        <v>10</v>
      </c>
    </row>
    <row r="166" spans="1:7" ht="15.9" hidden="1" thickTop="1" thickBot="1" x14ac:dyDescent="0.6">
      <c r="A166" s="149">
        <v>5001</v>
      </c>
      <c r="B166" s="149">
        <v>15000</v>
      </c>
      <c r="C166" s="202">
        <v>40</v>
      </c>
    </row>
    <row r="167" spans="1:7" ht="15.9" hidden="1" thickTop="1" thickBot="1" x14ac:dyDescent="0.6">
      <c r="A167" s="149">
        <v>15001</v>
      </c>
      <c r="B167" s="149">
        <v>1000000</v>
      </c>
      <c r="C167" s="202">
        <v>100</v>
      </c>
    </row>
    <row r="168" spans="1:7" hidden="1" x14ac:dyDescent="0.55000000000000004"/>
  </sheetData>
  <sheetProtection algorithmName="SHA-512" hashValue="m6c4McxYFbwgR5ttEuu4Q/JHiTi11p0oyC0LX9mSWW4D05a/5OQ28pX+wvwCagm6kiAR3aZC5ckUjh5McwTxtw==" saltValue="5ULEFtpfTSK4A5xUirelTg==" spinCount="100000" sheet="1" objects="1" scenarios="1"/>
  <mergeCells count="15">
    <mergeCell ref="E61:F61"/>
    <mergeCell ref="E16:F16"/>
    <mergeCell ref="E17:F17"/>
    <mergeCell ref="E20:F20"/>
    <mergeCell ref="E21:F21"/>
    <mergeCell ref="E60:F60"/>
    <mergeCell ref="E68:F68"/>
    <mergeCell ref="E69:F69"/>
    <mergeCell ref="E70:F70"/>
    <mergeCell ref="E62:F62"/>
    <mergeCell ref="E63:F63"/>
    <mergeCell ref="E64:F64"/>
    <mergeCell ref="E65:F65"/>
    <mergeCell ref="E66:F66"/>
    <mergeCell ref="E67:F67"/>
  </mergeCells>
  <phoneticPr fontId="19" type="noConversion"/>
  <dataValidations count="6">
    <dataValidation type="list" allowBlank="1" showErrorMessage="1" prompt=" " sqref="E24" xr:uid="{BCB91875-7A30-4735-9293-B32F90508A95}">
      <formula1>$D$62:$D$78</formula1>
    </dataValidation>
    <dataValidation type="list" showInputMessage="1" showErrorMessage="1" sqref="E20:F20" xr:uid="{757E94BD-E6ED-418E-BA48-36E697FC332C}">
      <formula1>$B$62:$B$66</formula1>
    </dataValidation>
    <dataValidation type="list" allowBlank="1" showInputMessage="1" showErrorMessage="1" sqref="E21:F21" xr:uid="{8C6494E6-F1E4-4A30-A3B9-88E4D4901312}">
      <formula1>$C$62:$C$66</formula1>
    </dataValidation>
    <dataValidation type="list" showInputMessage="1" showErrorMessage="1" sqref="E16:F16" xr:uid="{E3151C2E-D29C-4D57-953C-78FE51642FA0}">
      <formula1>$E$62:$E$90</formula1>
    </dataValidation>
    <dataValidation type="list" showInputMessage="1" showErrorMessage="1" sqref="E17:F17" xr:uid="{73D93B5D-15F5-4A6A-AAC5-E09E6F4A8C80}">
      <formula1>$G$62:$G$76</formula1>
    </dataValidation>
    <dataValidation type="list" allowBlank="1" showInputMessage="1" showErrorMessage="1" sqref="E23" xr:uid="{F99982B7-4373-4A62-A273-D552D07D52F6}">
      <formula1>$A$62:$A$64</formula1>
    </dataValidation>
  </dataValidations>
  <printOptions horizontalCentered="1"/>
  <pageMargins left="0.18802083333333333" right="0.23749999999999999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0" sqref="C20"/>
    </sheetView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PDA 1400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Asgari</dc:creator>
  <cp:lastModifiedBy>Mehdi</cp:lastModifiedBy>
  <cp:lastPrinted>2020-12-04T08:51:26Z</cp:lastPrinted>
  <dcterms:created xsi:type="dcterms:W3CDTF">2016-06-27T08:53:22Z</dcterms:created>
  <dcterms:modified xsi:type="dcterms:W3CDTF">2021-05-15T08:16:58Z</dcterms:modified>
</cp:coreProperties>
</file>